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252" windowWidth="11112" windowHeight="10812"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6" l="1"/>
  <c r="N9" i="1"/>
  <c r="L9" i="1"/>
  <c r="F22" i="6"/>
  <c r="F19" i="6" l="1"/>
  <c r="A3" i="3" l="1"/>
  <c r="G15" i="74" l="1"/>
  <c r="E70" i="39" l="1"/>
  <c r="F70" i="39" s="1"/>
  <c r="G70" i="39" s="1"/>
  <c r="H70" i="39" s="1"/>
  <c r="I70" i="39" s="1"/>
  <c r="J70" i="39" s="1"/>
  <c r="K70" i="39" s="1"/>
  <c r="L70" i="39" s="1"/>
  <c r="M70" i="39" s="1"/>
  <c r="D70" i="39"/>
  <c r="G21" i="6" l="1"/>
  <c r="G20" i="6"/>
  <c r="N6" i="12" l="1"/>
  <c r="C11" i="21" l="1"/>
  <c r="N7" i="1" l="1"/>
  <c r="N8" i="1" s="1"/>
  <c r="N14" i="1" s="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F34" i="67"/>
  <c r="F62" i="67" s="1"/>
  <c r="M20" i="67"/>
  <c r="F34" i="15"/>
  <c r="F62" i="15"/>
  <c r="G13" i="3"/>
  <c r="BA13" i="3"/>
  <c r="E10" i="6"/>
  <c r="BA5" i="3"/>
  <c r="E11" i="6"/>
  <c r="E60" i="39" s="1"/>
  <c r="BL17" i="3"/>
  <c r="AZ17" i="3"/>
  <c r="BL13" i="3"/>
  <c r="G30" i="6"/>
  <c r="G31" i="6" s="1"/>
  <c r="J56" i="9"/>
  <c r="J57" i="9" s="1"/>
  <c r="J59" i="9" s="1"/>
  <c r="J61" i="9" s="1"/>
  <c r="U29" i="34"/>
  <c r="E14" i="6"/>
  <c r="E63" i="39" s="1"/>
  <c r="E5" i="6"/>
  <c r="D9" i="11" s="1"/>
  <c r="C9" i="11" s="1"/>
  <c r="E32" i="6"/>
  <c r="G1" i="68"/>
  <c r="E28" i="6"/>
  <c r="AR12" i="1"/>
  <c r="T10" i="1"/>
  <c r="E19" i="69"/>
  <c r="E19" i="68"/>
  <c r="E19" i="11"/>
  <c r="E1" i="73"/>
  <c r="G22" i="69"/>
  <c r="G22" i="68"/>
  <c r="G26" i="12"/>
  <c r="G22" i="11"/>
  <c r="C100" i="43"/>
  <c r="E81" i="43"/>
  <c r="B79" i="43"/>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C48" i="35"/>
  <c r="D48" i="35" s="1"/>
  <c r="H65" i="43"/>
  <c r="H63" i="43"/>
  <c r="H56" i="43"/>
  <c r="L20" i="6"/>
  <c r="B6" i="1"/>
  <c r="E6"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48" i="68" s="1"/>
  <c r="F30" i="11"/>
  <c r="C48" i="11"/>
  <c r="F28" i="67"/>
  <c r="F31" i="12"/>
  <c r="F52" i="9"/>
  <c r="M18" i="67"/>
  <c r="F32" i="67"/>
  <c r="F60" i="67"/>
  <c r="F30" i="69"/>
  <c r="F48" i="69" s="1"/>
  <c r="C48" i="69"/>
  <c r="F32" i="15"/>
  <c r="F60" i="15"/>
  <c r="M18" i="15"/>
  <c r="F28" i="15"/>
  <c r="C28" i="15" s="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K14" i="1"/>
  <c r="M14" i="1" s="1"/>
  <c r="O14" i="1" s="1"/>
  <c r="P14" i="1" s="1"/>
  <c r="BL5" i="3"/>
  <c r="R22" i="31"/>
  <c r="AP7" i="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AO13" i="1"/>
  <c r="M21" i="67"/>
  <c r="D2" i="35"/>
  <c r="AO7" i="1"/>
  <c r="M28" i="67"/>
  <c r="F42" i="15"/>
  <c r="F8" i="15"/>
  <c r="F36" i="15"/>
  <c r="AO6" i="1"/>
  <c r="F16" i="15"/>
  <c r="E2" i="68"/>
  <c r="B8" i="76"/>
  <c r="F9" i="67"/>
  <c r="F35" i="67"/>
  <c r="M9" i="67"/>
  <c r="D4" i="73"/>
  <c r="M9" i="15"/>
  <c r="E10" i="76"/>
  <c r="B13" i="76"/>
  <c r="L47" i="67"/>
  <c r="F26" i="15"/>
  <c r="M22" i="67"/>
  <c r="AO10" i="1"/>
  <c r="F38" i="15"/>
  <c r="D7" i="73"/>
  <c r="B10" i="76"/>
  <c r="F16" i="67"/>
  <c r="M8" i="67"/>
  <c r="M29" i="15"/>
  <c r="F38" i="67"/>
  <c r="F5" i="73"/>
  <c r="AO9" i="1"/>
  <c r="D2" i="36"/>
  <c r="L48" i="67"/>
  <c r="M28" i="15"/>
  <c r="B11" i="76"/>
  <c r="AO8" i="1"/>
  <c r="F6" i="15"/>
  <c r="F4" i="73"/>
  <c r="F26" i="67"/>
  <c r="M29" i="67"/>
  <c r="F40" i="15"/>
  <c r="D5" i="73"/>
  <c r="F7" i="67"/>
  <c r="F13" i="15"/>
  <c r="F37" i="67"/>
  <c r="F9" i="15"/>
  <c r="E12" i="76"/>
  <c r="F20" i="31"/>
  <c r="F35" i="15"/>
  <c r="D2" i="33"/>
  <c r="AO12" i="1"/>
  <c r="F36" i="67"/>
  <c r="M23" i="15"/>
  <c r="AO11" i="1"/>
  <c r="F7" i="15"/>
  <c r="F13" i="67"/>
  <c r="L47" i="15"/>
  <c r="F41" i="67"/>
  <c r="D2" i="34"/>
  <c r="F43" i="67"/>
  <c r="J15" i="67"/>
  <c r="M8" i="15"/>
  <c r="D6" i="73"/>
  <c r="E11" i="76"/>
  <c r="E7" i="76"/>
  <c r="F41" i="15"/>
  <c r="M24" i="15"/>
  <c r="M24" i="67"/>
  <c r="F42" i="67"/>
  <c r="F7" i="73"/>
  <c r="M21" i="15"/>
  <c r="C76" i="67"/>
  <c r="L48" i="15"/>
  <c r="M26" i="15"/>
  <c r="M27" i="67"/>
  <c r="D2" i="21"/>
  <c r="E13" i="76"/>
  <c r="M27" i="15"/>
  <c r="F40" i="67"/>
  <c r="B9" i="76"/>
  <c r="M22" i="15"/>
  <c r="E2" i="69"/>
  <c r="M6" i="15"/>
  <c r="F6" i="73"/>
  <c r="F8" i="67"/>
  <c r="E9" i="76"/>
  <c r="M23" i="67"/>
  <c r="J15" i="15"/>
  <c r="F37" i="15"/>
  <c r="D2" i="37"/>
  <c r="M6" i="67"/>
  <c r="F3" i="73"/>
  <c r="B12" i="76"/>
  <c r="F6" i="67"/>
  <c r="B7" i="76"/>
  <c r="F43" i="15"/>
  <c r="D3" i="73"/>
  <c r="C76" i="15"/>
  <c r="E8" i="76"/>
  <c r="M26" i="67"/>
  <c r="D101" i="43" l="1"/>
  <c r="I101" i="43"/>
  <c r="I106" i="43" s="1"/>
  <c r="Z11" i="43"/>
  <c r="Z13" i="43" s="1"/>
  <c r="Y11" i="43"/>
  <c r="Y13" i="43" s="1"/>
  <c r="L101" i="43"/>
  <c r="L105" i="43" s="1"/>
  <c r="AH11" i="43"/>
  <c r="AH13" i="43" s="1"/>
  <c r="AG11" i="43"/>
  <c r="AG13" i="43" s="1"/>
  <c r="S6" i="43"/>
  <c r="S7" i="43"/>
  <c r="E15" i="6"/>
  <c r="E60" i="40" s="1"/>
  <c r="G5" i="3"/>
  <c r="B3" i="3" s="1"/>
  <c r="E29" i="6"/>
  <c r="K15" i="1" s="1"/>
  <c r="E64" i="39"/>
  <c r="S4" i="43"/>
  <c r="AR11" i="1"/>
  <c r="AC11" i="43"/>
  <c r="AC13" i="43" s="1"/>
  <c r="S5" i="43"/>
  <c r="AD11" i="43"/>
  <c r="AD13" i="43" s="1"/>
  <c r="T12" i="1"/>
  <c r="G22" i="43"/>
  <c r="E13" i="6"/>
  <c r="E8" i="6"/>
  <c r="E51" i="40" s="1"/>
  <c r="C18" i="9"/>
  <c r="D18" i="9" s="1"/>
  <c r="C36" i="69"/>
  <c r="AZ5" i="3"/>
  <c r="D19" i="12"/>
  <c r="C19" i="12" s="1"/>
  <c r="AA12" i="2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K16" i="1"/>
  <c r="T13" i="1"/>
  <c r="T11" i="1"/>
  <c r="AR10" i="1"/>
  <c r="K1" i="12"/>
  <c r="P10" i="1"/>
  <c r="AY191" i="3"/>
  <c r="AY31" i="3"/>
  <c r="AY147"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12" i="6"/>
  <c r="H16" i="1"/>
  <c r="H105" i="43"/>
  <c r="M107" i="43"/>
  <c r="E107" i="43"/>
  <c r="D9" i="68"/>
  <c r="C9" i="68" s="1"/>
  <c r="E59" i="40"/>
  <c r="D9" i="69"/>
  <c r="C9" i="69" s="1"/>
  <c r="O9" i="1"/>
  <c r="P9" i="1" s="1"/>
  <c r="P6" i="1"/>
  <c r="C13" i="12" s="1"/>
  <c r="O8" i="1"/>
  <c r="P8" i="1" s="1"/>
  <c r="E56" i="40"/>
  <c r="H87" i="43"/>
  <c r="H86" i="43"/>
  <c r="H82" i="43"/>
  <c r="H50" i="43"/>
  <c r="H74" i="43"/>
  <c r="H70" i="43"/>
  <c r="H61" i="43"/>
  <c r="H59" i="43"/>
  <c r="H51" i="43"/>
  <c r="H77" i="43"/>
  <c r="H72" i="43"/>
  <c r="H55" i="43"/>
  <c r="H64" i="43"/>
  <c r="H66" i="43"/>
  <c r="H71" i="43"/>
  <c r="H53" i="43"/>
  <c r="H75" i="43"/>
  <c r="A15" i="62"/>
  <c r="B61" i="72" s="1"/>
  <c r="G10" i="1"/>
  <c r="G8" i="1"/>
  <c r="G16" i="1"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G1" i="73"/>
  <c r="C14" i="67"/>
  <c r="C16" i="67"/>
  <c r="C14" i="15"/>
  <c r="C16" i="15"/>
  <c r="C17" i="67"/>
  <c r="C17" i="15"/>
  <c r="E6" i="6" l="1"/>
  <c r="D10" i="11" s="1"/>
  <c r="C10" i="11" s="1"/>
  <c r="AC6" i="3"/>
  <c r="E30" i="6"/>
  <c r="E133" i="3"/>
  <c r="E560" i="3"/>
  <c r="E406" i="3"/>
  <c r="E562"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298" i="3"/>
  <c r="E277" i="3"/>
  <c r="K6" i="3"/>
  <c r="E472" i="3"/>
  <c r="E465" i="3"/>
  <c r="W6" i="3"/>
  <c r="E571" i="3"/>
  <c r="E537" i="3"/>
  <c r="E450" i="3"/>
  <c r="E471" i="3"/>
  <c r="E433" i="3"/>
  <c r="E475" i="3"/>
  <c r="E54" i="3"/>
  <c r="E111" i="3"/>
  <c r="E168" i="3"/>
  <c r="E150" i="3"/>
  <c r="E208" i="3"/>
  <c r="E279" i="3"/>
  <c r="E257" i="3"/>
  <c r="E351" i="3"/>
  <c r="E357" i="3"/>
  <c r="E318" i="3"/>
  <c r="E31" i="3"/>
  <c r="E75" i="3"/>
  <c r="E473" i="3"/>
  <c r="E455" i="3"/>
  <c r="E170" i="3"/>
  <c r="E219" i="3"/>
  <c r="E392" i="3"/>
  <c r="E112" i="3"/>
  <c r="E340" i="3"/>
  <c r="E72" i="3"/>
  <c r="E93" i="3"/>
  <c r="E38" i="3"/>
  <c r="E194" i="3"/>
  <c r="E339" i="3"/>
  <c r="E52" i="3"/>
  <c r="E147" i="3"/>
  <c r="E20" i="3"/>
  <c r="E176" i="3"/>
  <c r="E524" i="3"/>
  <c r="E50" i="3"/>
  <c r="E62" i="3"/>
  <c r="E218" i="3"/>
  <c r="E365" i="3"/>
  <c r="E101" i="3"/>
  <c r="E265" i="3"/>
  <c r="E14" i="3"/>
  <c r="E16" i="6"/>
  <c r="F28" i="12"/>
  <c r="E58" i="40"/>
  <c r="E62" i="39"/>
  <c r="M104" i="43"/>
  <c r="M105" i="43"/>
  <c r="M102" i="43"/>
  <c r="H10" i="39"/>
  <c r="F10" i="39"/>
  <c r="J10" i="39"/>
  <c r="AY220" i="3"/>
  <c r="AY292" i="3"/>
  <c r="AY132" i="3"/>
  <c r="AY82" i="3"/>
  <c r="B14" i="74"/>
  <c r="B1" i="74" s="1"/>
  <c r="C8" i="74" s="1"/>
  <c r="D37" i="11"/>
  <c r="F27" i="68"/>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N16" i="1" s="1"/>
  <c r="B21" i="1" s="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57" i="40"/>
  <c r="D12" i="6"/>
  <c r="C47" i="11"/>
  <c r="D45" i="11" s="1"/>
  <c r="C15" i="15"/>
  <c r="C18" i="15"/>
  <c r="L16" i="1"/>
  <c r="J10" i="40"/>
  <c r="W10" i="40" s="1"/>
  <c r="AB10" i="39"/>
  <c r="F10" i="40"/>
  <c r="AA10" i="40" s="1"/>
  <c r="W10" i="39"/>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E65" i="39" l="1"/>
  <c r="C7" i="74"/>
  <c r="F45" i="68"/>
  <c r="B24" i="1"/>
  <c r="F34" i="68" s="1"/>
  <c r="C36" i="68" s="1"/>
  <c r="B23" i="1"/>
  <c r="C28" i="11"/>
  <c r="C27" i="11" s="1"/>
  <c r="C29" i="11"/>
  <c r="D27" i="11" s="1"/>
  <c r="C29" i="68"/>
  <c r="D27" i="68" s="1"/>
  <c r="C18" i="12"/>
  <c r="D19" i="68"/>
  <c r="C19" i="68" s="1"/>
  <c r="C115" i="43"/>
  <c r="D113" i="43" s="1"/>
  <c r="F34" i="11"/>
  <c r="S41" i="39"/>
  <c r="AA41" i="39"/>
  <c r="C19" i="15"/>
  <c r="C20" i="15" s="1"/>
  <c r="C26" i="15" s="1"/>
  <c r="AC10" i="40"/>
  <c r="D19" i="6"/>
  <c r="D26" i="6"/>
  <c r="C18" i="4"/>
  <c r="D8" i="6"/>
  <c r="D23" i="6"/>
  <c r="D14" i="6"/>
  <c r="D5" i="6"/>
  <c r="D11" i="6"/>
  <c r="D13" i="6"/>
  <c r="D28" i="6"/>
  <c r="E61" i="40"/>
  <c r="M19" i="9"/>
  <c r="C118" i="9"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K19" i="6"/>
  <c r="K25" i="6"/>
  <c r="M25" i="6" s="1"/>
  <c r="I25" i="6" s="1"/>
  <c r="U10" i="40"/>
  <c r="U10" i="39"/>
  <c r="C10" i="69"/>
  <c r="C8" i="69" s="1"/>
  <c r="C5" i="69" s="1"/>
  <c r="D19" i="69"/>
  <c r="F50" i="11"/>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M22" i="6" l="1"/>
  <c r="I22" i="6" s="1"/>
  <c r="S9" i="1"/>
  <c r="F50" i="68"/>
  <c r="F50" i="69"/>
  <c r="F11" i="12"/>
  <c r="C14" i="12" s="1"/>
  <c r="C16" i="12" s="1"/>
  <c r="C21" i="12" s="1"/>
  <c r="C14" i="74"/>
  <c r="B2" i="74" s="1"/>
  <c r="D7" i="74" s="1"/>
  <c r="J53" i="15"/>
  <c r="J53" i="67"/>
  <c r="M59" i="15"/>
  <c r="M59" i="67"/>
  <c r="C29" i="12"/>
  <c r="D28" i="12" s="1"/>
  <c r="C34" i="68"/>
  <c r="D37" i="68"/>
  <c r="C37" i="68" s="1"/>
  <c r="C36" i="11"/>
  <c r="C37" i="11"/>
  <c r="C34" i="11"/>
  <c r="D30" i="6"/>
  <c r="D16" i="6"/>
  <c r="A7" i="51"/>
  <c r="B7" i="72" s="1"/>
  <c r="A10" i="51"/>
  <c r="B9" i="72" s="1"/>
  <c r="C4" i="52"/>
  <c r="B45" i="72" s="1"/>
  <c r="D27" i="6"/>
  <c r="H25" i="6"/>
  <c r="R25" i="6" s="1"/>
  <c r="S25" i="6"/>
  <c r="K27" i="6"/>
  <c r="S6" i="1"/>
  <c r="M19" i="6"/>
  <c r="S26" i="6"/>
  <c r="H26" i="6"/>
  <c r="R26" i="6" s="1"/>
  <c r="S7" i="1"/>
  <c r="M20" i="6"/>
  <c r="I20" i="6" s="1"/>
  <c r="H22" i="6"/>
  <c r="R22" i="6" s="1"/>
  <c r="R9" i="1" s="1"/>
  <c r="S22" i="6"/>
  <c r="H23" i="6"/>
  <c r="R23" i="6" s="1"/>
  <c r="S23" i="6"/>
  <c r="M21" i="6"/>
  <c r="I21" i="6" s="1"/>
  <c r="S8" i="1"/>
  <c r="S24" i="6"/>
  <c r="H24" i="6"/>
  <c r="R24" i="6" s="1"/>
  <c r="C19" i="69"/>
  <c r="C20" i="69" s="1"/>
  <c r="D37" i="69"/>
  <c r="C37" i="69" s="1"/>
  <c r="C33"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E6" i="76"/>
  <c r="B6" i="76"/>
  <c r="D8" i="74" l="1"/>
  <c r="AR9" i="1"/>
  <c r="T9" i="1"/>
  <c r="AQ9" i="1"/>
  <c r="Q52" i="67"/>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F118" i="9" l="1"/>
  <c r="G118" i="9" s="1"/>
  <c r="F35" i="9"/>
  <c r="C56" i="11"/>
  <c r="C57" i="11" s="1"/>
  <c r="L69" i="39"/>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E8" i="12" l="1"/>
  <c r="C4" i="12" s="1"/>
  <c r="C23" i="12" s="1"/>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l="1"/>
  <c r="B2" i="68" s="1"/>
  <c r="B3" i="68" s="1"/>
  <c r="I31" i="68"/>
  <c r="C20" i="9"/>
  <c r="C19" i="9"/>
  <c r="C57" i="68" l="1"/>
  <c r="C102" i="9"/>
  <c r="G19" i="9"/>
  <c r="C21" i="9"/>
  <c r="D22" i="9"/>
  <c r="C103" i="9"/>
  <c r="G20" i="9"/>
  <c r="C32" i="9" s="1"/>
  <c r="G21" i="9" l="1"/>
  <c r="F34" i="9"/>
  <c r="C56" i="68"/>
  <c r="K22" i="9"/>
  <c r="C35" i="9"/>
  <c r="H118" i="9"/>
  <c r="D118" i="9" s="1"/>
  <c r="D35" i="9"/>
  <c r="C34" i="9" l="1"/>
  <c r="H4" i="52"/>
  <c r="D14" i="74"/>
  <c r="H101" i="9"/>
  <c r="H119" i="9"/>
  <c r="H5" i="52" s="1"/>
  <c r="C104" i="9"/>
  <c r="I118" i="9"/>
  <c r="D34" i="9"/>
  <c r="E118" i="9" l="1"/>
  <c r="H107" i="9"/>
  <c r="M48" i="9"/>
  <c r="D45" i="9"/>
  <c r="D5" i="53"/>
  <c r="D4" i="52"/>
  <c r="B47" i="72" s="1"/>
  <c r="D119" i="9"/>
  <c r="D5" i="52" s="1"/>
  <c r="B49" i="72" s="1"/>
  <c r="I4" i="52"/>
  <c r="H102" i="9"/>
  <c r="D7" i="53" s="1"/>
  <c r="B21" i="72" s="1"/>
  <c r="C105" i="9"/>
  <c r="F14" i="74"/>
  <c r="E14" i="74"/>
  <c r="B5" i="74"/>
  <c r="F4" i="52"/>
  <c r="B51" i="72" s="1"/>
  <c r="F119" i="9"/>
  <c r="F5" i="52" s="1"/>
  <c r="B53" i="72" s="1"/>
  <c r="G4" i="52" l="1"/>
  <c r="B52" i="72" s="1"/>
  <c r="B20" i="72"/>
  <c r="D6" i="53"/>
  <c r="B22" i="72" s="1"/>
  <c r="C5" i="74"/>
  <c r="D5" i="74"/>
  <c r="D53" i="9"/>
  <c r="D55" i="9"/>
  <c r="M53" i="9" s="1"/>
  <c r="C78" i="9"/>
  <c r="C73" i="9" s="1"/>
  <c r="C85" i="9"/>
  <c r="C64" i="9"/>
  <c r="C63" i="9" s="1"/>
  <c r="C67" i="9" s="1"/>
  <c r="D52" i="9"/>
  <c r="C93" i="9"/>
  <c r="C86" i="9" s="1"/>
  <c r="C72" i="9"/>
  <c r="D13" i="53"/>
  <c r="M49" i="9"/>
  <c r="H108" i="9"/>
  <c r="D15" i="53" s="1"/>
  <c r="B31" i="72" s="1"/>
  <c r="D122" i="9"/>
  <c r="E4" i="52" l="1"/>
  <c r="B48" i="72" s="1"/>
  <c r="B30" i="72"/>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 r="K23" i="9" l="1"/>
  <c r="K24"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<sst xmlns="http://schemas.openxmlformats.org/spreadsheetml/2006/main" count="8624" uniqueCount="3590">
  <si>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</si>
  <si>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</si>
  <si>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</si>
  <si>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</si>
  <si>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</si>
  <si>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</si>
  <si>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</si>
  <si>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</si>
  <si>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</si>
  <si>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</si>
  <si>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</si>
  <si>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</si>
  <si>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</si>
  <si>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</si>
  <si>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</si>
  <si>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</si>
  <si>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</si>
  <si>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</si>
  <si>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</si>
  <si>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</si>
  <si>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</si>
  <si>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</si>
  <si>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</si>
  <si>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</si>
  <si>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</si>
  <si>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</si>
  <si>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</si>
  <si>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</si>
  <si>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</si>
  <si>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</si>
  <si>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</si>
  <si>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</si>
  <si>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</si>
  <si>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</si>
  <si>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</si>
  <si>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</si>
  <si>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</si>
  <si>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</si>
  <si>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</si>
  <si>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</si>
  <si>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</si>
  <si>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</si>
  <si>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</si>
  <si>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</si>
  <si>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</si>
  <si>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</si>
  <si>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</si>
  <si>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</si>
  <si>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</si>
  <si>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</si>
  <si>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</si>
  <si>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</si>
  <si>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</si>
  <si>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</si>
  <si>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</si>
  <si>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</si>
  <si>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</si>
  <si>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</si>
  <si>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</si>
  <si>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</si>
  <si>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</si>
  <si>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</si>
  <si>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</si>
  <si>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</si>
  <si>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</si>
  <si>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</si>
  <si>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</si>
  <si>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</si>
  <si>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</si>
  <si>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</si>
  <si>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</si>
  <si>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</si>
  <si>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</si>
  <si>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</si>
  <si>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</si>
  <si>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</si>
  <si>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</si>
  <si>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</si>
  <si>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</si>
  <si>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</si>
  <si>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</si>
  <si>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</si>
  <si>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</si>
  <si>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</si>
  <si>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</si>
  <si>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</si>
  <si>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</si>
  <si>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</si>
  <si>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</si>
  <si>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</si>
  <si>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</si>
  <si>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</si>
  <si>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</si>
  <si>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</si>
  <si>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</si>
  <si>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</si>
  <si>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</si>
  <si>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</si>
  <si>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</si>
  <si>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</si>
  <si>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</si>
  <si>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</si>
  <si>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</si>
  <si>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</si>
  <si>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</si>
  <si>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</si>
  <si>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</si>
  <si>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</si>
  <si>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</si>
  <si>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</si>
  <si>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</si>
  <si>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</si>
  <si>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</si>
  <si>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</si>
  <si>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</si>
  <si>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</si>
  <si>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</si>
  <si>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</si>
  <si>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</si>
  <si>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</si>
  <si>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</si>
  <si>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</si>
  <si>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</si>
  <si>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</si>
  <si>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</si>
  <si>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</si>
  <si>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</si>
  <si>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</si>
  <si>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</si>
  <si>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</si>
  <si>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</si>
  <si>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</si>
  <si>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</si>
  <si>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</si>
  <si>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</si>
  <si>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</si>
  <si>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</si>
  <si>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</si>
  <si>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</si>
  <si>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</si>
  <si>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</si>
  <si>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</si>
  <si>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</si>
  <si>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</si>
  <si>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</si>
  <si>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</si>
  <si>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</si>
  <si>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</si>
  <si>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</si>
  <si>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</si>
  <si>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</si>
  <si>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</si>
  <si>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</si>
  <si>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</si>
  <si>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</si>
  <si>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</si>
  <si>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</si>
  <si>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</si>
  <si>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</si>
  <si>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</si>
  <si>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</si>
  <si>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</si>
  <si>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</si>
  <si>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</si>
  <si>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</si>
  <si>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</si>
  <si>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</si>
  <si>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</si>
  <si>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</si>
  <si>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</si>
  <si>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</si>
  <si>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</si>
  <si>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</si>
  <si>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</si>
  <si>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</si>
  <si>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</si>
  <si>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</si>
  <si>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</si>
  <si>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</si>
  <si>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</si>
  <si>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</si>
  <si>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</si>
  <si>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</si>
  <si>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</si>
  <si>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</si>
  <si>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</si>
  <si>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</si>
  <si>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</si>
  <si>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</si>
  <si>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</si>
  <si>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</si>
  <si>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</si>
  <si>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</si>
  <si>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</si>
  <si>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</si>
  <si>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</si>
  <si>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</si>
  <si>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</si>
  <si>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</si>
  <si>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</si>
  <si>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</si>
  <si>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</si>
  <si>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</si>
  <si>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</si>
  <si>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</si>
  <si>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</si>
  <si>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</si>
  <si>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</si>
  <si>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</si>
  <si>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</si>
  <si>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</si>
  <si>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</si>
  <si>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</si>
  <si>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</si>
  <si>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</si>
  <si>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</si>
  <si>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</si>
  <si>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</si>
  <si>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</si>
  <si>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</si>
  <si>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</si>
  <si>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</si>
  <si>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</si>
  <si>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</si>
  <si>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</si>
  <si>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</si>
  <si>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</si>
  <si>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</si>
  <si>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</si>
  <si>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</si>
  <si>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</si>
  <si>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</si>
  <si>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</si>
  <si>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</si>
  <si>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</si>
  <si>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</si>
  <si>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</si>
  <si>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</si>
  <si>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</si>
  <si>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</si>
  <si>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</si>
  <si>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</si>
  <si>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</si>
  <si>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</si>
  <si>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</si>
  <si>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</si>
  <si>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</si>
  <si>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</si>
  <si>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</si>
  <si>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</si>
  <si>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</si>
  <si>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</si>
  <si>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</si>
  <si>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</si>
  <si>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</si>
  <si>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</si>
  <si>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</si>
  <si>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</si>
  <si>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</si>
  <si>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</si>
  <si>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</si>
  <si>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</si>
  <si>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</si>
  <si>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</si>
  <si>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</si>
  <si>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</si>
  <si>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</si>
  <si>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</si>
  <si>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</si>
  <si>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</si>
  <si>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</si>
  <si>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</si>
  <si>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</si>
  <si>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</si>
  <si>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</si>
  <si>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</si>
  <si>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</si>
  <si>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</si>
  <si>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</si>
  <si>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</si>
  <si>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</si>
  <si>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</si>
  <si>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</si>
  <si>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</si>
  <si>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</si>
  <si>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</si>
  <si>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</si>
  <si>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</si>
  <si>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</si>
  <si>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</si>
  <si>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</si>
  <si>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</si>
  <si>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</si>
  <si>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</si>
  <si>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</si>
  <si>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</si>
  <si>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</si>
  <si>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</si>
  <si>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</si>
  <si>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</si>
  <si>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</si>
  <si>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</si>
  <si>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</si>
  <si>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</si>
  <si>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</si>
  <si>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</si>
  <si>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</si>
  <si>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</si>
  <si>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</si>
  <si>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</si>
  <si>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</si>
  <si>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</si>
  <si>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</si>
  <si>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</si>
  <si>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</si>
  <si>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</si>
  <si>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</si>
  <si>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</si>
  <si>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</si>
  <si>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</si>
  <si>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</si>
  <si>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</si>
  <si>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</si>
  <si>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</si>
  <si>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</si>
  <si>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</si>
  <si>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</si>
  <si>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</si>
  <si>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</si>
  <si>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</si>
  <si>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</si>
  <si>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</si>
  <si>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</si>
  <si>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</si>
  <si>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</si>
  <si>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</si>
  <si>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</si>
  <si>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</si>
  <si>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</si>
  <si>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</si>
  <si>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</si>
  <si>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</si>
  <si>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</si>
  <si>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</si>
  <si>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</si>
  <si>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</si>
  <si>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</si>
  <si>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</si>
  <si>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</si>
  <si>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</si>
  <si>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</si>
  <si>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</si>
  <si>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</si>
  <si>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</si>
  <si>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</si>
  <si>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</si>
  <si>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</si>
  <si>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</si>
  <si>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</si>
  <si>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</si>
  <si>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</si>
  <si>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</si>
  <si>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</si>
  <si>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</si>
  <si>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</si>
  <si>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</si>
  <si>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</si>
  <si>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</si>
  <si>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</si>
  <si>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</si>
  <si>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</si>
  <si>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</si>
  <si>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</si>
  <si>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</si>
  <si>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</si>
  <si>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</si>
  <si>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</si>
  <si>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</si>
  <si>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</si>
  <si>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</si>
  <si>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</si>
  <si>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</si>
  <si>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</si>
  <si>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</si>
  <si>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</si>
  <si>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</si>
  <si>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</si>
  <si>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</si>
  <si>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</si>
  <si>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</si>
  <si>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</si>
  <si>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</si>
  <si>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</si>
  <si>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</si>
  <si>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</si>
  <si>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</si>
  <si>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</si>
  <si>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</si>
  <si>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</si>
  <si>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</si>
  <si>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</si>
  <si>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</si>
  <si>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</si>
  <si>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</si>
  <si>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</si>
  <si>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</si>
  <si>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</si>
  <si>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</si>
  <si>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</si>
  <si>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</si>
  <si>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</si>
  <si>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</si>
  <si>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</si>
  <si>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</si>
  <si>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</si>
  <si>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</si>
  <si>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</si>
  <si>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</si>
  <si>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</si>
  <si>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</si>
  <si>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</si>
  <si>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</si>
  <si>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</si>
  <si>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</si>
  <si>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</si>
  <si>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</si>
  <si>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</si>
  <si>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</si>
  <si>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</si>
  <si>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</si>
  <si>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</si>
  <si>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</si>
  <si>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</si>
  <si>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</si>
  <si>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</si>
  <si>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</si>
  <si>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</si>
  <si>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</si>
  <si>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</si>
  <si>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</si>
  <si>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</si>
  <si>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</si>
  <si>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</si>
  <si>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</si>
  <si>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</si>
  <si>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</si>
  <si>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</si>
  <si>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</si>
  <si>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</si>
  <si>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</si>
  <si>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</si>
  <si>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</si>
  <si>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</si>
  <si>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</si>
  <si>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</si>
  <si>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</si>
  <si>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</si>
  <si>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</si>
  <si>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</si>
  <si>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</si>
  <si>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</si>
  <si>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</si>
  <si>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</si>
  <si>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</si>
  <si>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</si>
  <si>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</si>
  <si>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</si>
  <si>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</si>
  <si>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</si>
  <si>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</si>
  <si>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</si>
  <si>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</si>
  <si>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</si>
  <si>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</si>
  <si>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</si>
  <si>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</si>
  <si>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</si>
  <si>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</si>
  <si>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</si>
  <si>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</si>
  <si>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</si>
  <si>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</si>
  <si>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</si>
  <si>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</si>
  <si>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</si>
  <si>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</si>
  <si>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</si>
  <si>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</si>
  <si>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</si>
  <si>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</si>
  <si>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</si>
  <si>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</si>
  <si>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</si>
  <si>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</si>
  <si>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</si>
  <si>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</si>
  <si>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</si>
  <si>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</si>
  <si>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</si>
  <si>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</si>
  <si>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</si>
  <si>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</si>
  <si>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</si>
  <si>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</si>
  <si>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</si>
  <si>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</si>
  <si>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</si>
  <si>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</si>
  <si>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</si>
  <si>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</si>
  <si>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</si>
  <si>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</si>
  <si>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</si>
  <si>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</si>
  <si>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</si>
  <si>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</si>
  <si>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</si>
  <si>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</si>
  <si>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</si>
  <si>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</si>
  <si>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</si>
  <si>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</si>
  <si>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</si>
  <si>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</si>
  <si>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</si>
  <si>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</si>
  <si>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</si>
  <si>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</si>
  <si>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</si>
  <si>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</si>
  <si>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</si>
  <si>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</si>
  <si>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</si>
  <si>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</si>
  <si>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</si>
  <si>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</si>
  <si>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</si>
  <si>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</si>
  <si>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</si>
  <si>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</si>
  <si>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</si>
  <si>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</si>
  <si>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</si>
  <si>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</si>
  <si>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</si>
  <si>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</si>
  <si>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</si>
  <si>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</si>
  <si>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</si>
  <si>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</si>
  <si>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</si>
  <si>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</si>
  <si>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</si>
  <si>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</si>
  <si>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</si>
  <si>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</si>
  <si>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</si>
  <si>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</si>
  <si>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</si>
  <si>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</si>
  <si>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</si>
  <si>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</si>
  <si>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</si>
  <si>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</si>
  <si>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</si>
  <si>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</si>
  <si>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</si>
  <si>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</si>
  <si>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</si>
  <si>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</si>
  <si>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</si>
  <si>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</si>
  <si>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</si>
  <si>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</si>
  <si>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</si>
  <si>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</si>
  <si>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</si>
  <si>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</si>
  <si>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</si>
  <si>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</si>
  <si>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</si>
  <si>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</si>
  <si>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</si>
  <si>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</si>
  <si>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</si>
  <si>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</si>
  <si>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</si>
  <si>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</si>
  <si>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</si>
  <si>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</si>
  <si>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</si>
  <si>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</si>
  <si>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</si>
  <si>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</si>
  <si>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</si>
  <si>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</si>
  <si>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</si>
  <si>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</si>
  <si>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</si>
  <si>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</si>
  <si>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</si>
  <si>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</si>
  <si>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</si>
  <si>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</si>
  <si>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</si>
  <si>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</si>
  <si>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</si>
  <si>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</si>
  <si>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</si>
  <si>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</si>
  <si>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</si>
  <si>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</si>
  <si>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</si>
  <si>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</si>
  <si>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</si>
  <si>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</si>
  <si>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</si>
  <si>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</si>
  <si>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</si>
  <si>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</si>
  <si>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</si>
  <si>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</si>
  <si>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</si>
  <si>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</si>
  <si>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</si>
  <si>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</si>
  <si>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</si>
  <si>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</si>
  <si>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</si>
  <si>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</si>
  <si>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</si>
  <si>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</si>
  <si>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</si>
  <si>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</si>
  <si>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</si>
  <si>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</si>
  <si>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</si>
  <si>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</si>
  <si>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</si>
  <si>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</si>
  <si>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</si>
  <si>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</si>
  <si>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</si>
  <si>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</si>
  <si>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</si>
  <si>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</si>
  <si>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</si>
  <si>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</si>
  <si>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</si>
  <si>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</si>
  <si>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</si>
  <si>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</si>
  <si>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</si>
  <si>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</si>
  <si>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</si>
  <si>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</si>
  <si>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</si>
  <si>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</si>
  <si>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</si>
  <si>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</si>
  <si>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</si>
  <si>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</si>
  <si>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</si>
  <si>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</si>
  <si>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</si>
  <si>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</si>
  <si>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</si>
  <si>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</si>
  <si>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</si>
  <si>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</si>
  <si>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</si>
  <si>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</si>
  <si>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</si>
  <si>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</si>
  <si>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</si>
  <si>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</si>
  <si>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</si>
  <si>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</si>
  <si>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</si>
  <si>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</si>
  <si>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</si>
  <si>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</si>
  <si>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</si>
  <si>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</si>
  <si>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</si>
  <si>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</si>
  <si>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</si>
  <si>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</si>
  <si>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</si>
  <si>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</si>
  <si>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</si>
  <si>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</si>
  <si>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</si>
  <si>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</si>
  <si>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</si>
  <si>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</si>
  <si>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</si>
  <si>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</si>
  <si>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</si>
  <si>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</si>
  <si>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</si>
  <si>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</si>
  <si>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</si>
  <si>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</si>
  <si>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</si>
  <si>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</si>
  <si>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</si>
  <si>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</si>
  <si>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</si>
  <si>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</si>
  <si>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</si>
  <si>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</si>
  <si>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</si>
  <si>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</si>
  <si>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</si>
  <si>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</si>
  <si>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</si>
  <si>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</si>
  <si>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</si>
  <si>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</si>
  <si>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</si>
  <si>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</si>
  <si>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</si>
  <si>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</si>
  <si>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</si>
  <si>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</si>
  <si>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</si>
  <si>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</si>
  <si>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</si>
  <si>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</si>
  <si>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</si>
  <si>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</si>
  <si>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</si>
  <si>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</si>
  <si>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</si>
  <si>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</si>
  <si>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</si>
  <si>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</si>
  <si>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</si>
  <si>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</si>
  <si>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</si>
  <si>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</si>
  <si>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</si>
  <si>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</si>
  <si>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</si>
  <si>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</si>
  <si>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</si>
  <si>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</si>
  <si>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</si>
  <si>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</si>
  <si>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</si>
  <si>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</si>
  <si>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</si>
  <si>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</si>
  <si>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</si>
  <si>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</si>
  <si>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</si>
  <si>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</si>
  <si>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</si>
  <si>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</si>
  <si>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</si>
  <si>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</si>
  <si>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</si>
  <si>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</si>
  <si>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</si>
  <si>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</si>
  <si>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</si>
  <si>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</si>
  <si>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</si>
  <si>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</si>
  <si>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</si>
  <si>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</si>
  <si>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</si>
  <si>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</si>
  <si>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</si>
  <si>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</si>
  <si>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</si>
  <si>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</si>
  <si>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</si>
  <si>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</si>
  <si>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</si>
  <si>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</si>
  <si>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</si>
  <si>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</si>
  <si>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</si>
  <si>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</si>
  <si>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</si>
  <si>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</si>
  <si>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</si>
  <si>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</si>
  <si>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</si>
  <si>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</si>
  <si>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</si>
  <si>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</si>
  <si>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</si>
  <si>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</si>
  <si>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</si>
  <si>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</si>
  <si>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</si>
  <si>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</si>
  <si>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</si>
  <si>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</si>
  <si>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</si>
  <si>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</si>
  <si>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</si>
  <si>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</si>
  <si>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</si>
  <si>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</si>
  <si>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</si>
  <si>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</si>
  <si>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</si>
  <si>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</si>
  <si>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</si>
  <si>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</si>
  <si>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</si>
  <si>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</si>
  <si>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</si>
  <si>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</si>
  <si>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</si>
  <si>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</si>
  <si>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</si>
  <si>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</si>
  <si>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</si>
  <si>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</si>
  <si>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</si>
  <si>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</si>
  <si>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</si>
  <si>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</si>
  <si>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</si>
  <si>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</si>
  <si>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</si>
  <si>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</si>
  <si>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</si>
  <si>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</si>
  <si>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</si>
  <si>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</si>
  <si>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</si>
  <si>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</si>
  <si>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</si>
  <si>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</si>
  <si>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</si>
  <si>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</si>
  <si>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</si>
  <si>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</si>
  <si>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</si>
  <si>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</si>
  <si>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</si>
  <si>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</si>
  <si>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</si>
  <si>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</si>
  <si>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</si>
  <si>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</si>
  <si>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</si>
  <si>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</si>
  <si>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</si>
  <si>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</si>
  <si>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</si>
  <si>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</si>
  <si>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</si>
  <si>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</si>
  <si>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</si>
  <si>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</si>
  <si>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</si>
  <si>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</si>
  <si>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</si>
  <si>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</si>
  <si>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</si>
  <si>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</si>
  <si>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</si>
  <si>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</si>
  <si>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</si>
  <si>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</si>
  <si>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</si>
  <si>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</si>
  <si>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</si>
  <si>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</si>
  <si>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</si>
  <si>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</si>
  <si>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</si>
  <si>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</si>
  <si>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</si>
  <si>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</si>
  <si>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</si>
  <si>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</si>
  <si>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</si>
  <si>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</si>
  <si>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</si>
  <si>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</si>
  <si>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</si>
  <si>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</si>
  <si>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</si>
  <si>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</si>
  <si>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</si>
  <si>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</si>
  <si>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</si>
  <si>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</si>
  <si>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</si>
  <si>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</si>
  <si>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</si>
  <si>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</si>
  <si>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</si>
  <si>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</si>
  <si>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</si>
  <si>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</si>
  <si>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</si>
  <si>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</si>
  <si>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</si>
  <si>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</si>
  <si>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</si>
  <si>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</si>
  <si>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</si>
  <si>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</si>
  <si>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</si>
  <si>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</si>
  <si>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</si>
  <si>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</si>
  <si>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</si>
  <si>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</si>
  <si>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</si>
  <si>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</si>
  <si>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</si>
  <si>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</si>
  <si>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</si>
  <si>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</si>
  <si>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</si>
  <si>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</si>
  <si>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</si>
  <si>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</si>
  <si>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</si>
  <si>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</si>
  <si>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</si>
  <si>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</si>
  <si>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</si>
  <si>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</si>
  <si>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</si>
  <si>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</si>
  <si>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</si>
  <si>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</si>
  <si>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</si>
  <si>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</si>
  <si>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</si>
  <si>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</si>
  <si>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</si>
  <si>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</si>
  <si>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</si>
  <si>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</si>
  <si>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</si>
  <si>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</si>
  <si>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</si>
  <si>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</si>
  <si>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</si>
  <si>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</si>
  <si>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</si>
  <si>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</si>
  <si>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</si>
  <si>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</si>
  <si>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</si>
  <si>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</si>
  <si>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</si>
  <si>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</si>
  <si>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</si>
  <si>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</si>
  <si>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</si>
  <si>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</si>
  <si>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</si>
  <si>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</si>
  <si>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</si>
  <si>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</si>
  <si>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</si>
  <si>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</si>
  <si>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</si>
  <si>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</si>
  <si>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</si>
  <si>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</si>
  <si>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</si>
  <si>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</si>
  <si>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</si>
  <si>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</si>
  <si>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</si>
  <si>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</si>
  <si>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</si>
  <si>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</si>
  <si>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</si>
  <si>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</si>
  <si>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</si>
  <si>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</si>
  <si>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</si>
  <si>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</si>
  <si>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</si>
  <si>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</si>
  <si>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</si>
  <si>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</si>
  <si>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</si>
  <si>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</si>
  <si>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</si>
  <si>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</si>
  <si>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</si>
  <si>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</si>
  <si>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</si>
  <si>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</si>
  <si>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</si>
  <si>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</si>
  <si>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</si>
  <si>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</si>
  <si>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</si>
  <si>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</si>
  <si>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</si>
  <si>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</si>
  <si>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</si>
  <si>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</si>
  <si>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</si>
  <si>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</si>
  <si>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</si>
  <si>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</si>
  <si>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</si>
  <si>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</si>
  <si>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</si>
  <si>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</si>
  <si>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</si>
  <si>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</si>
  <si>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</si>
  <si>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</si>
  <si>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</si>
  <si>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</si>
  <si>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</si>
  <si>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</si>
  <si>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</si>
  <si>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</si>
  <si>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</si>
  <si>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</si>
  <si>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</si>
  <si>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</si>
  <si>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</si>
  <si>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</si>
  <si>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</si>
  <si>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</si>
  <si>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</si>
  <si>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</si>
  <si>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</si>
  <si>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</si>
  <si>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</si>
  <si>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</si>
  <si>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</si>
  <si>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</si>
  <si>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</si>
  <si>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</si>
  <si>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</si>
  <si>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</si>
  <si>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</si>
  <si>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</si>
  <si>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</si>
  <si>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</si>
  <si>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</si>
  <si>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</si>
  <si>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</si>
  <si>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</si>
  <si>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</si>
  <si>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</si>
  <si>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</si>
  <si>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</si>
  <si>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</si>
  <si>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</si>
  <si>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</si>
  <si>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</si>
  <si>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</si>
  <si>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</si>
  <si>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</si>
  <si>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</si>
  <si>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</si>
  <si>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</si>
  <si>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</si>
  <si>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</si>
  <si>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</si>
  <si>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</si>
  <si>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</si>
  <si>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</si>
  <si>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</si>
  <si>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</si>
  <si>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</si>
  <si>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</si>
  <si>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</si>
  <si>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</si>
  <si>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</si>
  <si>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</si>
  <si>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</si>
  <si>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</si>
  <si>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</si>
  <si>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</si>
  <si>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</si>
  <si>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</si>
  <si>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</si>
  <si>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</si>
  <si>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</si>
  <si>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</si>
  <si>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</si>
  <si>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</si>
  <si>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</si>
  <si>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</si>
  <si>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</si>
  <si>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</si>
  <si>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</si>
  <si>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</si>
  <si>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</si>
  <si>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</si>
  <si>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</si>
  <si>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</si>
  <si>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</si>
  <si>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</si>
  <si>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</si>
  <si>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</si>
  <si>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</si>
  <si>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</si>
  <si>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</si>
  <si>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</si>
  <si>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</si>
  <si>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</si>
  <si>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</si>
  <si>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</si>
  <si>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</si>
  <si>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</si>
  <si>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</si>
  <si>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</si>
  <si>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</si>
  <si>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</si>
  <si>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</si>
  <si>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</si>
  <si>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</si>
  <si>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</si>
  <si>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</si>
  <si>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</si>
  <si>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</si>
  <si>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</si>
  <si>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</si>
  <si>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</si>
  <si>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</si>
  <si>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</si>
  <si>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</si>
  <si>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</si>
  <si>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</si>
  <si>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</si>
  <si>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</si>
  <si>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</si>
  <si>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</si>
  <si>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</si>
  <si>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</si>
  <si>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</si>
  <si>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</si>
  <si>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</si>
  <si>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</si>
  <si>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</si>
  <si>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</si>
  <si>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</si>
  <si>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</si>
  <si>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</si>
  <si>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</si>
  <si>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</si>
  <si>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</si>
  <si>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</si>
  <si>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</si>
  <si>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</si>
  <si>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</si>
  <si>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</si>
  <si>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</si>
  <si>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</si>
  <si>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</si>
  <si>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</si>
  <si>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</si>
  <si>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</si>
  <si>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</si>
  <si>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</si>
  <si>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</si>
  <si>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</si>
  <si>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</si>
  <si>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</si>
  <si>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</si>
  <si>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</si>
  <si>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</si>
  <si>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</si>
  <si>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</si>
  <si>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</si>
  <si>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</si>
  <si>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</si>
  <si>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</si>
  <si>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</si>
  <si>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</si>
  <si>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</si>
  <si>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</si>
  <si>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</si>
  <si>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</si>
  <si>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</si>
  <si>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</si>
  <si>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</si>
  <si>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</si>
  <si>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</si>
  <si>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</si>
  <si>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</si>
  <si>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</si>
  <si>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</si>
  <si>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</si>
  <si>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</si>
  <si>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</si>
  <si>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</si>
  <si>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</si>
  <si>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</si>
  <si>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</si>
  <si>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</si>
  <si>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</si>
  <si>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</si>
  <si>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</si>
  <si>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</si>
  <si>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</si>
  <si>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</si>
  <si>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</si>
  <si>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</si>
  <si>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</si>
  <si>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</si>
  <si>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</si>
  <si>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</si>
  <si>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</si>
  <si>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</si>
  <si>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</si>
  <si>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</si>
  <si>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</si>
  <si>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</si>
  <si>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</si>
  <si>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</si>
  <si>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</si>
  <si>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</si>
  <si>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</si>
  <si>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</si>
  <si>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</si>
  <si>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</si>
  <si>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</si>
  <si>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</si>
  <si>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</si>
  <si>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</si>
  <si>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</si>
  <si>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</si>
  <si>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</si>
  <si>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</si>
  <si>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</si>
  <si>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</si>
  <si>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</si>
  <si>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</si>
  <si>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</si>
  <si>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</si>
  <si>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</si>
  <si>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</si>
  <si>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</si>
  <si>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</si>
  <si>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</si>
  <si>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</si>
  <si>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</si>
  <si>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</si>
  <si>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</si>
  <si>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</si>
  <si>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</si>
  <si>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</si>
  <si>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</si>
  <si>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</si>
  <si>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</si>
  <si>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</si>
  <si>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</si>
  <si>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</si>
  <si>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</si>
  <si>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</si>
  <si>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</si>
  <si>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</si>
  <si>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</si>
  <si>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</si>
  <si>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</si>
  <si>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</si>
  <si>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</si>
  <si>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</si>
  <si>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</si>
  <si>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</si>
  <si>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</si>
  <si>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</si>
  <si>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</si>
  <si>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</si>
  <si>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</si>
  <si>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</si>
  <si>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</si>
  <si>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</si>
  <si>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</si>
  <si>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</si>
  <si>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</si>
  <si>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</si>
  <si>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</si>
  <si>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</si>
  <si>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</si>
  <si>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</si>
  <si>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</si>
  <si>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</si>
  <si>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</si>
  <si>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</si>
  <si>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</si>
  <si>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</si>
  <si>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</si>
  <si>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</si>
  <si>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</si>
  <si>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</si>
  <si>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</si>
  <si>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</si>
  <si>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</si>
  <si>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</si>
  <si>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</si>
  <si>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</si>
  <si>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</si>
  <si>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</si>
  <si>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</si>
  <si>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</si>
  <si>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</si>
  <si>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</si>
  <si>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</si>
  <si>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</si>
  <si>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</si>
  <si>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</si>
  <si>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</si>
  <si>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</si>
  <si>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</si>
  <si>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</si>
  <si>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</si>
  <si>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</si>
  <si>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</si>
  <si>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</si>
  <si>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</si>
  <si>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</si>
  <si>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</si>
  <si>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</si>
  <si>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</si>
  <si>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</si>
  <si>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</si>
  <si>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</si>
  <si>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</si>
  <si>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</si>
  <si>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</si>
  <si>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</si>
  <si>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</si>
  <si>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</si>
  <si>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</si>
  <si>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</si>
  <si>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</si>
  <si>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</si>
  <si>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</si>
  <si>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</si>
  <si>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</si>
  <si>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</si>
  <si>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</si>
  <si>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</si>
  <si>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</si>
  <si>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</si>
  <si>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</si>
  <si>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</si>
  <si>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</si>
  <si>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</si>
  <si>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</si>
  <si>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</si>
  <si>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</si>
  <si>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</si>
  <si>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</si>
  <si>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</si>
  <si>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</si>
  <si>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</si>
  <si>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</si>
  <si>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</si>
  <si>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</si>
  <si>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</si>
  <si>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</si>
  <si>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</si>
  <si>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</si>
  <si>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</si>
  <si>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</si>
  <si>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</si>
  <si>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</si>
  <si>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</si>
  <si>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</si>
  <si>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</si>
  <si>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</si>
  <si>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</si>
  <si>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</si>
  <si>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</si>
  <si>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</si>
  <si>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</si>
  <si>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</si>
  <si>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</si>
  <si>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</si>
  <si>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</si>
  <si>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</si>
  <si>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</si>
  <si>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</si>
  <si>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</si>
  <si>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</si>
  <si>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</si>
  <si>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</si>
  <si>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</si>
  <si>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</si>
  <si>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</si>
  <si>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</si>
  <si>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</si>
  <si>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</si>
  <si>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</si>
  <si>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</si>
  <si>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</si>
  <si>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</si>
  <si>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</si>
  <si>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</si>
  <si>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</si>
  <si>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</si>
  <si>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</si>
  <si>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</si>
  <si>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</si>
  <si>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</si>
  <si>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</si>
  <si>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</si>
  <si>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</si>
  <si>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</si>
  <si>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</si>
  <si>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</si>
  <si>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</si>
  <si>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</si>
  <si>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</si>
  <si>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</si>
  <si>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</si>
  <si>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</si>
  <si>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</si>
  <si>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</si>
  <si>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</si>
  <si>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</si>
  <si>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</si>
  <si>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</si>
  <si>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</si>
  <si>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</si>
  <si>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</si>
  <si>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</si>
  <si>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</si>
  <si>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</si>
  <si>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</si>
  <si>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</si>
  <si>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</si>
  <si>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</si>
  <si>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</si>
  <si>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</si>
  <si>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</si>
  <si>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</si>
  <si>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</si>
  <si>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</si>
  <si>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</si>
  <si>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</si>
  <si>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</si>
  <si>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</si>
  <si>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</si>
  <si>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</si>
  <si>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</si>
  <si>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</si>
  <si>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</si>
  <si>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</si>
  <si>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</si>
  <si>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</si>
  <si>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</si>
  <si>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</si>
  <si>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</si>
  <si>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</si>
  <si>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</si>
  <si>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</si>
  <si>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</si>
  <si>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</si>
  <si>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</si>
  <si>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</si>
  <si>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</si>
  <si>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</si>
  <si>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</si>
  <si>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</si>
  <si>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</si>
  <si>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</si>
  <si>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</si>
  <si>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</si>
  <si>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</si>
  <si>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</si>
  <si>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</si>
  <si>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</si>
  <si>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</si>
  <si>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</si>
  <si>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</si>
  <si>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</si>
  <si>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</si>
  <si>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</si>
  <si>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</si>
  <si>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</si>
  <si>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</si>
  <si>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</si>
  <si>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</si>
  <si>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</si>
  <si>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</si>
  <si>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</si>
  <si>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</si>
  <si>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</si>
  <si>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</si>
  <si>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</si>
  <si>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</si>
  <si>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</si>
  <si>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</si>
  <si>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</si>
  <si>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</si>
  <si>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</si>
  <si>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</si>
  <si>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</si>
  <si>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</si>
  <si>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</si>
  <si>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</si>
  <si>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</si>
  <si>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</si>
  <si>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</si>
  <si>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</si>
  <si>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</si>
  <si>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</si>
  <si>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</si>
  <si>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</si>
  <si>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</si>
  <si>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</si>
  <si>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</si>
  <si>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</si>
  <si>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</si>
  <si>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</si>
  <si>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</si>
  <si>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</si>
  <si>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</si>
  <si>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</si>
  <si>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</si>
  <si>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</si>
  <si>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</si>
  <si>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</si>
  <si>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</si>
  <si>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</si>
  <si>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</si>
  <si>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</si>
  <si>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</si>
  <si>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</si>
  <si>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</si>
  <si>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</si>
  <si>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</si>
  <si>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</si>
  <si>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</si>
  <si>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</si>
  <si>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</si>
  <si>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</si>
  <si>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</si>
  <si>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</si>
  <si>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</si>
  <si>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</si>
  <si>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</si>
  <si>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</si>
  <si>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</si>
  <si>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</si>
  <si>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</si>
  <si>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</si>
  <si>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</si>
  <si>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</si>
  <si>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</si>
  <si>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</si>
  <si>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</si>
  <si>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</si>
  <si>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</si>
  <si>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</si>
  <si>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</si>
  <si>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</si>
  <si>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</si>
  <si>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</si>
  <si>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</si>
  <si>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</si>
  <si>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</si>
  <si>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</si>
  <si>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</si>
  <si>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</si>
  <si>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</si>
  <si>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</si>
  <si>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</si>
  <si>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</si>
  <si>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</si>
  <si>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</si>
  <si>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</si>
  <si>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</si>
  <si>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</si>
  <si>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</si>
  <si>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</si>
  <si>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</si>
  <si>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</si>
  <si>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</si>
  <si>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</si>
  <si>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</si>
  <si>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</si>
  <si>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</si>
  <si>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</si>
  <si>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</si>
  <si>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</si>
  <si>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</si>
  <si>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</si>
  <si>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</si>
  <si>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</si>
  <si>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</si>
  <si>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</si>
  <si>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</si>
  <si>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</si>
  <si>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</si>
  <si>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</si>
  <si>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</si>
  <si>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</si>
  <si>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</si>
  <si>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</si>
  <si>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</si>
  <si>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</si>
  <si>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</si>
  <si>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</si>
  <si>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</si>
  <si>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</si>
  <si>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</si>
  <si>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</si>
  <si>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</si>
  <si>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</si>
  <si>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</si>
  <si>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</si>
  <si>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</si>
  <si>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</si>
  <si>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</si>
  <si>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</si>
  <si>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</si>
  <si>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</si>
  <si>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</si>
  <si>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</si>
  <si>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</si>
  <si>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</si>
  <si>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</si>
  <si>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</si>
  <si>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</si>
  <si>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</si>
  <si>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</si>
  <si>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</si>
  <si>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</si>
  <si>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</si>
  <si>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</si>
  <si>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</si>
  <si>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</si>
  <si>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</si>
  <si>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</si>
  <si>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</si>
  <si>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</si>
  <si>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</si>
  <si>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</si>
  <si>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</si>
  <si>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</si>
  <si>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</si>
  <si>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</si>
  <si>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</si>
  <si>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</si>
  <si>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</si>
  <si>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</si>
  <si>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</si>
  <si>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</si>
  <si>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</si>
  <si>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</si>
  <si>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</si>
  <si>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</si>
  <si>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</si>
  <si>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</si>
  <si>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</si>
  <si>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</si>
  <si>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</si>
  <si>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</si>
  <si>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</si>
  <si>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</si>
  <si>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</si>
  <si>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</si>
  <si>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</si>
  <si>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</si>
  <si>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</si>
  <si>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</si>
  <si>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</si>
  <si>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</si>
  <si>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</si>
  <si>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</si>
  <si>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</si>
  <si>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</si>
  <si>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</si>
  <si>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</si>
  <si>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</si>
  <si>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</si>
  <si>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</si>
  <si>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</si>
  <si>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</si>
  <si>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</si>
  <si>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</si>
  <si>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</si>
  <si>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</si>
  <si>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</si>
  <si>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</si>
  <si>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</si>
  <si>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</si>
  <si>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</si>
  <si>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</si>
  <si>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</si>
  <si>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</si>
  <si>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</si>
  <si>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</si>
  <si>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</si>
  <si>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</si>
  <si>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</si>
  <si>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</si>
  <si>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</si>
  <si>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</si>
  <si>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</si>
  <si>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</si>
  <si>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</si>
  <si>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</si>
  <si>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</si>
  <si>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</si>
  <si>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</si>
  <si>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</si>
  <si>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</si>
  <si>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</si>
  <si>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</si>
  <si>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</si>
  <si>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</si>
  <si>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</si>
  <si>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</si>
  <si>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</si>
  <si>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</si>
  <si>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</si>
  <si>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</si>
  <si>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</si>
  <si>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</si>
  <si>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</si>
  <si>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</si>
  <si>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</si>
  <si>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</si>
  <si>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</si>
  <si>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</si>
  <si>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</si>
  <si>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</si>
  <si>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</si>
  <si>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</si>
  <si>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</si>
  <si>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</si>
  <si>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</si>
  <si>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</si>
  <si>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</si>
  <si>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</si>
  <si>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</si>
  <si>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</si>
  <si>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</si>
  <si>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</si>
  <si>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</si>
  <si>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</si>
  <si>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</si>
  <si>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</si>
  <si>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</si>
  <si>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</si>
  <si>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</si>
  <si>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</si>
  <si>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</si>
  <si>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</si>
  <si>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</si>
  <si>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</si>
  <si>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</si>
  <si>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</si>
  <si>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</si>
  <si>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</si>
  <si>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</si>
  <si>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</si>
  <si>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</si>
  <si>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</si>
  <si>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</si>
  <si>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</si>
  <si>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</si>
  <si>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</si>
  <si>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</si>
  <si>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</si>
  <si>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</si>
  <si>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</si>
  <si>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</si>
  <si>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</si>
  <si>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</si>
  <si>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</si>
  <si>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</si>
  <si>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</si>
  <si>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</si>
  <si>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</si>
  <si>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</si>
  <si>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</si>
  <si>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</si>
  <si>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</si>
  <si>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</si>
  <si>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</si>
  <si>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</si>
  <si>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</si>
  <si>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</si>
  <si>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</si>
  <si>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</si>
  <si>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</si>
  <si>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</si>
  <si>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</si>
  <si>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</si>
  <si>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</si>
  <si>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</si>
  <si>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</si>
  <si>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</si>
  <si>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</si>
  <si>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</si>
  <si>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</si>
  <si>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</si>
  <si>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</si>
  <si>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</si>
  <si>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</si>
  <si>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</si>
  <si>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</si>
  <si>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</si>
  <si>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</si>
  <si>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</si>
  <si>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</si>
  <si>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</si>
  <si>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</si>
  <si>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</si>
  <si>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</si>
  <si>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</si>
  <si>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</si>
  <si>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</si>
  <si>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</si>
  <si>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</si>
  <si>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</si>
  <si>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</si>
  <si>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</si>
  <si>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</si>
  <si>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</si>
  <si>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</si>
  <si>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</si>
  <si>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</si>
  <si>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</si>
  <si>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</si>
  <si>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</si>
  <si>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</si>
  <si>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</si>
  <si>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</si>
  <si>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</si>
  <si>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</si>
  <si>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</si>
  <si>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</si>
  <si>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</si>
  <si>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</si>
  <si>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</si>
  <si>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</si>
  <si>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</si>
  <si>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</si>
  <si>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</si>
  <si>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</si>
  <si>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</si>
  <si>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</si>
  <si>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</si>
  <si>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</si>
  <si>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</si>
  <si>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</si>
  <si>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</si>
  <si>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</si>
  <si>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</si>
  <si>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</si>
  <si>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</si>
  <si>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</si>
  <si>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</si>
  <si>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</si>
  <si>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</si>
  <si>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</si>
  <si>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</si>
  <si>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</si>
  <si>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</si>
  <si>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</si>
  <si>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</si>
  <si>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</si>
  <si>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</si>
  <si>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</si>
  <si>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</si>
  <si>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</si>
  <si>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</si>
  <si>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</si>
  <si>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</si>
  <si>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</si>
  <si>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</si>
  <si>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</si>
  <si>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</si>
  <si>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</si>
  <si>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</si>
  <si>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</si>
  <si>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</si>
  <si>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</si>
  <si>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</si>
  <si>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</si>
  <si>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</si>
  <si>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</si>
  <si>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</si>
  <si>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</si>
  <si>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</si>
  <si>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</si>
  <si>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</si>
  <si>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</si>
  <si>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</si>
  <si>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</si>
  <si>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</si>
  <si>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</si>
  <si>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</si>
  <si>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</si>
  <si>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</si>
  <si>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</si>
  <si>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</si>
  <si>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</si>
  <si>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</si>
  <si>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</si>
  <si>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</si>
  <si>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</si>
  <si>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</si>
  <si>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</si>
  <si>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</si>
  <si>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</si>
  <si>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</si>
  <si>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</si>
  <si>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</si>
  <si>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</si>
  <si>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</si>
  <si>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</si>
  <si>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</si>
  <si>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</si>
  <si>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</si>
  <si>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</si>
  <si>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</si>
  <si>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</si>
  <si>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</si>
  <si>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</si>
  <si>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</si>
  <si>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</si>
  <si>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</si>
  <si>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</si>
  <si>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</si>
  <si>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</si>
  <si>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</si>
  <si>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</si>
  <si>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</si>
  <si>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</si>
  <si>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</si>
  <si>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</si>
  <si>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</si>
  <si>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</si>
  <si>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</si>
  <si>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</si>
  <si>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</si>
  <si>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</si>
  <si>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</si>
  <si>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</si>
  <si>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</si>
  <si>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</si>
  <si>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</si>
  <si>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</si>
  <si>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</si>
  <si>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</si>
  <si>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</si>
  <si>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</si>
  <si>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</si>
  <si>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</si>
  <si>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</si>
  <si>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</si>
  <si>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</si>
  <si>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</si>
  <si>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</si>
  <si>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</si>
  <si>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</si>
  <si>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</si>
  <si>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</si>
  <si>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</si>
  <si>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</si>
  <si>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</si>
  <si>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</si>
  <si>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</si>
  <si>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</si>
  <si>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</si>
  <si>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</si>
  <si>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</si>
  <si>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</si>
  <si>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</si>
  <si>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</si>
  <si>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</si>
  <si>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</si>
  <si>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</si>
  <si>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</si>
  <si>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</si>
  <si>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</si>
  <si>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</si>
  <si>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</si>
  <si>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</si>
  <si>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</si>
  <si>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</si>
  <si>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</si>
  <si>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</si>
  <si>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</si>
  <si>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</si>
  <si>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</si>
  <si>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</si>
  <si>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</si>
  <si>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</si>
  <si>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</si>
  <si>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</si>
  <si>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</si>
  <si>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</si>
  <si>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</si>
  <si>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</si>
  <si>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</si>
  <si>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</si>
  <si>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</si>
  <si>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</si>
  <si>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</si>
  <si>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</si>
  <si>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</si>
  <si>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</si>
  <si>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</si>
  <si>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</si>
  <si>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</si>
  <si>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</si>
  <si>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</si>
  <si>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</si>
  <si>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</si>
  <si>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</si>
  <si>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</si>
  <si>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</si>
  <si>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</si>
  <si>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</si>
  <si>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</si>
  <si>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</si>
  <si>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</si>
  <si>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</si>
  <si>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</si>
  <si>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</si>
  <si>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</si>
  <si>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</si>
  <si>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</si>
  <si>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</si>
  <si>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</si>
  <si>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</si>
  <si>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</si>
  <si>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</si>
  <si>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</si>
  <si>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</si>
  <si>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</si>
  <si>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</si>
  <si>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</si>
  <si>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</si>
  <si>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</si>
  <si>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</si>
  <si>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</si>
  <si>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</si>
  <si>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</si>
  <si>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</si>
  <si>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</si>
  <si>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</si>
  <si>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</si>
  <si>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</si>
  <si>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</si>
  <si>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</si>
  <si>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</si>
  <si>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</si>
  <si>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</si>
  <si>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</si>
  <si>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</si>
  <si>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</si>
  <si>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</si>
  <si>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</si>
  <si>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</si>
  <si>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</si>
  <si>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</si>
  <si>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</si>
  <si>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</si>
  <si>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</si>
  <si>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</si>
  <si>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</si>
  <si>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</si>
  <si>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</si>
  <si>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</si>
  <si>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</si>
  <si>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</si>
  <si>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</si>
  <si>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</si>
  <si>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</si>
  <si>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</si>
  <si>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</si>
  <si>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</si>
  <si>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</si>
  <si>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</si>
  <si>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</si>
  <si>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</si>
  <si>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</si>
  <si>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</si>
  <si>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</si>
  <si>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</si>
  <si>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</si>
  <si>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</si>
  <si>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</si>
  <si>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</si>
  <si>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</si>
  <si>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</si>
  <si>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</si>
  <si>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</si>
  <si>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</si>
  <si>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</si>
  <si>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</si>
  <si>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</si>
  <si>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</si>
  <si>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</si>
  <si>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</si>
  <si>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</si>
  <si>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</si>
  <si>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</si>
  <si>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</si>
  <si>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</si>
  <si>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</si>
  <si>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</si>
  <si>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</si>
  <si>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</si>
  <si>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</si>
  <si>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</si>
  <si>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</si>
  <si>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</si>
  <si>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</si>
  <si>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</si>
  <si>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</si>
  <si>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</si>
  <si>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</si>
  <si>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</si>
  <si>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</si>
  <si>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</si>
  <si>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</si>
  <si>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</si>
  <si>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</si>
  <si>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</si>
  <si>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</si>
  <si>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</si>
  <si>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</si>
  <si>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</si>
  <si>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</si>
  <si>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</si>
  <si>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</si>
  <si>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</si>
  <si>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</si>
  <si>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</si>
  <si>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</si>
  <si>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</si>
  <si>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</si>
  <si>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</si>
  <si>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</si>
  <si>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</si>
  <si>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</si>
  <si>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</si>
  <si>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</si>
  <si>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</si>
  <si>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</si>
  <si>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</si>
  <si>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</si>
  <si>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</si>
  <si>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</si>
  <si>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</si>
  <si>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</si>
  <si>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</si>
  <si>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</si>
  <si>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</si>
  <si>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</si>
  <si>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</si>
  <si>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</si>
  <si>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</si>
  <si>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</si>
  <si>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</si>
  <si>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</si>
  <si>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</si>
  <si>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</si>
  <si>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</si>
  <si>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</si>
  <si>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</si>
  <si>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</si>
  <si>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</si>
  <si>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</si>
  <si>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</si>
  <si>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</si>
  <si>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</si>
  <si>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</si>
  <si>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</si>
  <si>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</si>
  <si>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</si>
  <si>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</si>
  <si>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</si>
  <si>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</si>
  <si>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</si>
  <si>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</si>
  <si>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</si>
  <si>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</si>
  <si>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</si>
  <si>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</si>
  <si>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</si>
  <si>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</si>
  <si>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</si>
  <si>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</si>
  <si>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</si>
  <si>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</si>
  <si>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</si>
  <si>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</si>
  <si>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</si>
  <si>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</si>
  <si>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</si>
  <si>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</si>
  <si>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</si>
  <si>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</si>
  <si>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</si>
  <si>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</si>
  <si>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</si>
  <si>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</si>
  <si>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</si>
  <si>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</si>
  <si>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</si>
  <si>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</si>
  <si>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</si>
  <si>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</si>
  <si>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</si>
  <si>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</si>
  <si>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</si>
  <si>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</si>
  <si>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</si>
  <si>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</si>
  <si>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</si>
  <si>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</si>
  <si>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</si>
  <si>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</si>
  <si>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</si>
  <si>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</si>
  <si>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</si>
  <si>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</si>
  <si>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</si>
  <si>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</si>
  <si>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</si>
  <si>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</si>
  <si>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</si>
  <si>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</si>
  <si>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</si>
  <si>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</si>
  <si>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</si>
  <si>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</si>
  <si>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</si>
  <si>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</si>
  <si>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</si>
  <si>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</si>
  <si>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</si>
  <si>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</si>
  <si>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</si>
  <si>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</si>
  <si>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</si>
  <si>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</si>
  <si>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</si>
  <si>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</si>
  <si>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</si>
  <si>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</si>
  <si>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</si>
  <si>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</si>
  <si>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</si>
  <si>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</si>
  <si>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</si>
  <si>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</si>
  <si>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</si>
  <si>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</si>
  <si>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</si>
  <si>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</si>
  <si>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</si>
  <si>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</si>
  <si>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</si>
  <si>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</si>
  <si>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</si>
  <si>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</si>
  <si>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</si>
  <si>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</si>
  <si>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</si>
  <si>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</si>
  <si>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</si>
  <si>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</si>
  <si>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</si>
  <si>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</si>
  <si>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</si>
  <si>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</si>
  <si>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</si>
  <si>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</si>
  <si>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</si>
  <si>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</si>
  <si>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</si>
  <si>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</si>
  <si>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</si>
  <si>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</si>
  <si>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</si>
  <si>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</si>
  <si>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</si>
  <si>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</si>
  <si>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</si>
  <si>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</si>
  <si>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</si>
  <si>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</si>
  <si>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</si>
  <si>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</si>
  <si>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</si>
  <si>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</si>
  <si>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</si>
  <si>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</si>
  <si>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</si>
  <si>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</si>
  <si>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</si>
  <si>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</si>
  <si>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</si>
  <si>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</si>
  <si>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</si>
  <si>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</si>
  <si>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</si>
  <si>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</si>
  <si>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</si>
  <si>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</si>
  <si>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</si>
  <si>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</si>
  <si>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</si>
  <si>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</si>
  <si>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</si>
  <si>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</si>
  <si>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</si>
  <si>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</si>
  <si>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</si>
  <si>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</si>
  <si>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</si>
  <si>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</si>
  <si>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</si>
  <si>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</si>
  <si>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</si>
  <si>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</si>
  <si>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</si>
  <si>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</si>
  <si>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</si>
  <si>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</si>
  <si>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</si>
  <si>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</si>
  <si>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</si>
  <si>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</si>
  <si>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</si>
  <si>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</si>
  <si>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</si>
  <si>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</si>
  <si>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</si>
  <si>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</si>
  <si>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</si>
  <si>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</si>
  <si>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</si>
  <si>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</si>
  <si>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</si>
  <si>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</si>
  <si>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</si>
  <si>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</si>
  <si>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</si>
  <si>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</si>
  <si>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</si>
  <si>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</si>
  <si>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</si>
  <si>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</si>
  <si>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</si>
  <si>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</si>
  <si>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</si>
  <si>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</si>
  <si>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</si>
  <si>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</si>
  <si>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</si>
  <si>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</si>
  <si>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</si>
  <si>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</si>
  <si>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</si>
  <si>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</si>
  <si>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</si>
  <si>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</si>
  <si>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</si>
  <si>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</si>
  <si>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</si>
  <si>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</si>
  <si>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</si>
  <si>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</si>
  <si>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</si>
  <si>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</si>
  <si>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</si>
  <si>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</si>
  <si>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</si>
  <si>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</si>
  <si>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</si>
  <si>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</si>
  <si>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</si>
  <si>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</si>
  <si>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</si>
  <si>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</si>
  <si>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</si>
  <si>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</si>
  <si>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</si>
  <si>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</si>
  <si>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</si>
  <si>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</si>
  <si>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</si>
  <si>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</si>
  <si>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</si>
  <si>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</si>
  <si>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</si>
  <si>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</si>
  <si>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</si>
  <si>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</si>
  <si>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</si>
  <si>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</si>
  <si>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</si>
  <si>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</si>
  <si>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</si>
  <si>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</si>
  <si>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</si>
  <si>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</si>
  <si>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</si>
  <si>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</si>
  <si>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</si>
  <si>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</si>
  <si>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</si>
  <si>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</si>
  <si>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</si>
  <si>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</si>
  <si>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</si>
  <si>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</si>
  <si>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</si>
  <si>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</si>
  <si>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</si>
  <si>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</si>
  <si>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</si>
  <si>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</si>
  <si>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</si>
  <si>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</si>
  <si>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</si>
  <si>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</si>
  <si>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</si>
  <si>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</si>
  <si>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</si>
  <si>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</si>
  <si>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</si>
  <si>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</si>
  <si>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</si>
  <si>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</si>
  <si>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</si>
  <si>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</si>
  <si>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</si>
  <si>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</si>
  <si>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</si>
  <si>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</si>
  <si>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</si>
  <si>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</si>
  <si>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</si>
  <si>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</si>
  <si>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</si>
  <si>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</si>
  <si>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</si>
  <si>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</si>
  <si>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</si>
  <si>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</si>
  <si>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</si>
  <si>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</si>
  <si>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</si>
  <si>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</si>
  <si>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</si>
  <si>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</si>
  <si>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</si>
  <si>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</si>
  <si>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</si>
  <si>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</si>
  <si>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</si>
  <si>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</si>
  <si>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</si>
  <si>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</si>
  <si>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</si>
  <si>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</si>
  <si>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</si>
  <si>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</si>
  <si>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</si>
  <si>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</si>
  <si>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</si>
  <si>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</si>
  <si>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</si>
  <si>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</si>
  <si>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</si>
  <si>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</si>
  <si>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</si>
  <si>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</si>
  <si>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</si>
  <si>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</si>
  <si>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</si>
  <si>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</si>
  <si>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</si>
  <si>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</si>
  <si>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</si>
  <si>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</si>
  <si>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</si>
  <si>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</si>
  <si>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</si>
  <si>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</si>
  <si>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</si>
  <si>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</si>
  <si>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</si>
  <si>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</si>
  <si>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</si>
  <si>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</si>
  <si>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</si>
  <si>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</si>
  <si>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</si>
  <si>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</si>
  <si>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</si>
  <si>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</si>
  <si>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</si>
  <si>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</si>
  <si>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</si>
  <si>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</si>
  <si>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</si>
  <si>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</si>
  <si>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</si>
  <si>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</si>
  <si>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</si>
  <si>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</si>
  <si>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</si>
  <si>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</si>
  <si>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</si>
  <si>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</si>
  <si>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</si>
  <si>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</si>
  <si>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</si>
  <si>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</si>
  <si>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</si>
  <si>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</si>
  <si>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</si>
  <si>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</si>
  <si>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</si>
  <si>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</si>
  <si>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</si>
  <si>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</si>
  <si>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</si>
  <si>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</si>
  <si>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</si>
  <si>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</si>
  <si>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</si>
  <si>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</si>
  <si>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</si>
  <si>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</si>
  <si>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</si>
  <si>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</si>
  <si>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</si>
  <si>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</si>
  <si>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</si>
  <si>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</si>
  <si>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</si>
  <si>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</si>
  <si>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</si>
  <si>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</si>
  <si>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</si>
  <si>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</si>
  <si>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</si>
  <si>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</si>
  <si>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</si>
  <si>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</si>
  <si>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</si>
  <si>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</si>
  <si>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</si>
  <si>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</si>
  <si>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</si>
  <si>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</si>
  <si>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</si>
  <si>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</si>
  <si>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</si>
  <si>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</si>
  <si>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</si>
  <si>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</si>
  <si>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</si>
  <si>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</si>
  <si>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</si>
  <si>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</si>
  <si>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</si>
  <si>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</si>
  <si>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</si>
  <si>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</si>
  <si>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</si>
  <si>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</si>
  <si>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</si>
  <si>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</si>
  <si>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</si>
  <si>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</si>
  <si>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</si>
  <si>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</si>
  <si>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</si>
  <si>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</si>
  <si>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</si>
  <si>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</si>
  <si>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</si>
  <si>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</si>
  <si>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</si>
  <si>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</si>
  <si>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</si>
  <si>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</si>
  <si>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</si>
  <si>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</si>
  <si>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</si>
  <si>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</si>
  <si>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</si>
  <si>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</si>
  <si>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</si>
  <si>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</si>
  <si>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</si>
  <si>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</si>
  <si>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</si>
  <si>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</si>
  <si>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</si>
  <si>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</si>
  <si>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</si>
  <si>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</si>
  <si>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</si>
  <si>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</si>
  <si>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</si>
  <si>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</si>
  <si>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</si>
  <si>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</si>
  <si>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</si>
  <si>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</si>
  <si>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</si>
  <si>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</si>
  <si>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</si>
  <si>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</si>
  <si>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</si>
  <si>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</si>
  <si>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</si>
  <si>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</si>
  <si>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</si>
  <si>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</si>
  <si>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</si>
  <si>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</si>
  <si>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</si>
  <si>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</si>
  <si>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</si>
  <si>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</si>
  <si>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</si>
  <si>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</si>
  <si>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</si>
  <si>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</si>
  <si>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</si>
  <si>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</si>
  <si>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</si>
  <si>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</si>
  <si>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</si>
  <si>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</si>
  <si>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</si>
  <si>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</si>
  <si>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</si>
  <si>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</si>
  <si>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</si>
  <si>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</si>
  <si>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</si>
  <si>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</si>
  <si>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</si>
  <si>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</si>
  <si>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</si>
  <si>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</si>
  <si>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</si>
  <si>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</si>
  <si>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</si>
  <si>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</si>
  <si>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</si>
  <si>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</si>
  <si>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</si>
  <si>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</si>
  <si>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</si>
  <si>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</si>
  <si>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</si>
  <si>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</si>
  <si>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</si>
  <si>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</si>
  <si>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</si>
  <si>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</si>
  <si>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</si>
  <si>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</si>
  <si>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</si>
  <si>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</si>
  <si>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</si>
  <si>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</si>
  <si>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</si>
  <si>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</si>
  <si>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</si>
  <si>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</si>
  <si>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</si>
  <si>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</si>
  <si>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</si>
  <si>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</si>
  <si>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</si>
  <si>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</si>
  <si>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</si>
  <si>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</si>
  <si>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</si>
  <si>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</si>
  <si>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</si>
  <si>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</si>
  <si>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</si>
  <si>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</si>
  <si>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</si>
  <si>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</si>
  <si>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</si>
  <si>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</si>
  <si>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</si>
  <si>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</si>
  <si>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</si>
  <si>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</si>
  <si>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</si>
  <si>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</si>
  <si>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</si>
  <si>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</si>
  <si>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</si>
  <si>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</si>
  <si>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</si>
  <si>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</si>
  <si>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</si>
  <si>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</si>
  <si>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</si>
  <si>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</si>
  <si>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</si>
  <si>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</si>
  <si>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</si>
  <si>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</si>
  <si>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</si>
  <si>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</si>
  <si>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</si>
  <si>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</si>
  <si>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</si>
  <si>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</si>
  <si>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</si>
  <si>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</si>
  <si>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</si>
  <si>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</si>
  <si>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</si>
  <si>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</si>
  <si>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</si>
  <si>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</si>
  <si>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</si>
  <si>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</si>
  <si>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</si>
  <si>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</si>
  <si>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</si>
  <si>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</si>
  <si>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</si>
  <si>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</si>
  <si>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</si>
  <si>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</si>
  <si>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</si>
  <si>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</si>
  <si>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</si>
  <si>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</si>
  <si>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</si>
  <si>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</si>
  <si>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</si>
  <si>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</si>
  <si>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</si>
  <si>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</si>
  <si>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</si>
  <si>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</si>
  <si>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</si>
  <si>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</si>
  <si>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</si>
  <si>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</si>
  <si>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</si>
  <si>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</si>
  <si>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</si>
  <si>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</si>
  <si>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</si>
  <si>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</si>
  <si>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</si>
  <si>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</si>
  <si>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</si>
  <si>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</si>
  <si>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</si>
  <si>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</si>
  <si>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</si>
  <si>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</si>
  <si>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</si>
  <si>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</si>
  <si>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</si>
  <si>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</si>
  <si>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</si>
  <si>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</si>
  <si>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</si>
  <si>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</si>
  <si>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</si>
  <si>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</si>
  <si>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</si>
  <si>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</si>
  <si>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</si>
  <si>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</si>
  <si>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</si>
  <si>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</si>
  <si>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</si>
  <si>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</si>
  <si>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</si>
  <si>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</si>
  <si>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</si>
  <si>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</si>
  <si>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</si>
  <si>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</si>
  <si>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</si>
  <si>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</si>
  <si>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</si>
  <si>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</si>
  <si>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</si>
  <si>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</si>
  <si>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</si>
  <si>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</si>
  <si>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</si>
  <si>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</si>
  <si>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</si>
  <si>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</si>
  <si>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</si>
  <si>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</si>
  <si>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</si>
  <si>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</si>
  <si>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</si>
  <si>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</si>
  <si>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</si>
  <si>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</si>
  <si>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</si>
  <si>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</si>
  <si>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</si>
  <si>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</si>
  <si>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</si>
  <si>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</si>
  <si>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</si>
  <si>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</si>
  <si>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</si>
  <si>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</si>
  <si>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</si>
  <si>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</si>
  <si>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</si>
  <si>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</si>
  <si>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</si>
  <si>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</si>
  <si>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</si>
  <si>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</si>
  <si>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</si>
  <si>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</si>
  <si>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</si>
  <si>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</si>
  <si>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</si>
  <si>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</si>
  <si>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</si>
  <si>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</si>
  <si>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</si>
  <si>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</si>
  <si>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</si>
  <si>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</si>
  <si>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</si>
  <si>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</si>
  <si>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</si>
  <si>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</si>
  <si>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</si>
  <si>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</si>
  <si>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</si>
  <si>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</si>
  <si>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</si>
  <si>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</si>
  <si>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</si>
  <si>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</si>
  <si>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</si>
  <si>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</si>
  <si>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</si>
  <si>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</si>
  <si>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</si>
  <si>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</si>
  <si>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</si>
  <si>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</si>
  <si>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</si>
  <si>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</si>
  <si>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</si>
  <si>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</si>
  <si>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</si>
  <si>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</si>
  <si>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</si>
  <si>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</si>
  <si>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</si>
  <si>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</si>
  <si>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</si>
  <si>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</si>
  <si>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</si>
  <si>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</si>
  <si>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</si>
  <si>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</si>
  <si>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</si>
  <si>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</si>
  <si>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</si>
  <si>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</si>
  <si>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</si>
  <si>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</si>
  <si>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</si>
  <si>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</si>
  <si>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</si>
  <si>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</si>
  <si>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</si>
  <si>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</si>
  <si>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</si>
  <si>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</si>
  <si>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</si>
  <si>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</si>
  <si>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</si>
  <si>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</si>
  <si>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</si>
  <si>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</si>
  <si>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</si>
  <si>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</si>
  <si>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</si>
  <si>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</si>
  <si>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</si>
  <si>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</si>
  <si>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</si>
  <si>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</si>
  <si>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</si>
  <si>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</si>
  <si>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</si>
  <si>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</si>
  <si>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</si>
  <si>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</si>
  <si>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</si>
  <si>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</si>
  <si>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</si>
  <si>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</si>
  <si>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</si>
  <si>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</si>
  <si>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</si>
  <si>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</si>
  <si>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</si>
  <si>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</si>
  <si>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</si>
  <si>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</si>
  <si>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</si>
  <si>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</si>
  <si>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</si>
  <si>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</si>
  <si>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</si>
  <si>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</si>
  <si>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</si>
  <si>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</si>
  <si>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</si>
  <si>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</si>
  <si>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</si>
  <si>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</si>
  <si>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</si>
  <si>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</si>
  <si>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</si>
  <si>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</si>
  <si>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</si>
  <si>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</si>
  <si>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</si>
  <si>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</si>
  <si>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</si>
  <si>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</si>
  <si>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</si>
  <si>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</si>
  <si>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</si>
  <si>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</si>
  <si>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</si>
  <si>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</si>
  <si>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</si>
  <si>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</si>
  <si>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</si>
  <si>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</si>
  <si>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</si>
  <si>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</si>
  <si>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</si>
  <si>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</si>
  <si>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</si>
  <si>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</si>
  <si>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</si>
  <si>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</si>
  <si>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</si>
  <si>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</si>
  <si>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</si>
  <si>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</si>
  <si>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</si>
  <si>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</si>
  <si>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</si>
  <si>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</si>
  <si>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</si>
  <si>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</si>
  <si>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</si>
  <si>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</si>
  <si>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</si>
  <si>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</si>
  <si>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</si>
  <si>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</si>
  <si>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</si>
  <si>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</si>
  <si>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</si>
  <si>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</si>
  <si>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</si>
  <si>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</si>
  <si>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</si>
  <si>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</si>
  <si>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</si>
  <si>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</si>
  <si>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</si>
  <si>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</si>
  <si>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</si>
  <si>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</si>
  <si>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</si>
  <si>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</si>
  <si>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</si>
  <si>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</si>
  <si>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</si>
  <si>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</si>
  <si>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</si>
  <si>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</si>
  <si>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</si>
  <si>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</si>
  <si>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</si>
  <si>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</si>
  <si>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</si>
  <si>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</si>
  <si>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</si>
  <si>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</si>
  <si>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</si>
  <si>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</si>
  <si>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</si>
  <si>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</si>
  <si>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</si>
  <si>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</si>
  <si>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</si>
  <si>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</si>
  <si>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</si>
  <si>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</si>
  <si>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</si>
  <si>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</si>
  <si>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</si>
  <si>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</si>
  <si>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</si>
  <si>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</si>
  <si>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</si>
  <si>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</si>
  <si>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</si>
  <si>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</si>
  <si>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</si>
  <si>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</si>
  <si>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</si>
  <si>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</si>
  <si>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</si>
  <si>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</si>
  <si>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</si>
  <si>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</si>
  <si>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</si>
  <si>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</si>
  <si>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</si>
  <si>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</si>
  <si>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</si>
  <si>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</si>
  <si>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</si>
  <si>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</si>
  <si>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</si>
  <si>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</si>
  <si>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</si>
  <si>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</si>
  <si>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</si>
  <si>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</si>
  <si>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</si>
  <si>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</si>
  <si>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</si>
  <si>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</si>
  <si>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</si>
  <si>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</si>
  <si>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</si>
  <si>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</si>
  <si>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</si>
  <si>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</si>
  <si>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</si>
  <si>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</si>
  <si>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</si>
  <si>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</si>
  <si>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</si>
  <si>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</si>
  <si>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</si>
  <si>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</si>
  <si>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</si>
  <si>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</si>
  <si>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</si>
  <si>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</si>
  <si>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</si>
  <si>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</si>
  <si>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</si>
  <si>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</si>
  <si>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</si>
  <si>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</si>
  <si>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</si>
  <si>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</si>
  <si>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</si>
  <si>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</si>
  <si>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</si>
  <si>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</si>
  <si>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</si>
  <si>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</si>
  <si>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</si>
  <si>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</si>
  <si>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</si>
  <si>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</si>
  <si>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</si>
  <si>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</si>
  <si>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</si>
  <si>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</si>
  <si>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</si>
  <si>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</si>
  <si>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</si>
  <si>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</si>
  <si>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</si>
  <si>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</si>
  <si>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</si>
  <si>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</si>
  <si>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</si>
  <si>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</si>
  <si>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</si>
  <si>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</si>
  <si>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</si>
  <si>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</si>
  <si>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</si>
  <si>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</si>
  <si>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</si>
  <si>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</si>
  <si>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</si>
  <si>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</si>
  <si>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</si>
  <si>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</si>
  <si>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</si>
  <si>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</si>
  <si>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</si>
  <si>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</si>
  <si>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</si>
  <si>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</si>
  <si>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</si>
  <si>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</si>
  <si>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</si>
  <si>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</si>
  <si>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</si>
  <si>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</si>
  <si>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</si>
  <si>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</si>
  <si>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</si>
  <si>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</si>
  <si>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</si>
  <si>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</si>
  <si>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</si>
  <si>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</si>
  <si>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</si>
  <si>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</si>
  <si>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</si>
  <si>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</si>
  <si>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</si>
  <si>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</si>
  <si>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</si>
  <si>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</si>
  <si>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</si>
  <si>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</si>
  <si>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</si>
  <si>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</si>
  <si>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</si>
  <si>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</si>
  <si>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</si>
  <si>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</si>
  <si>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</si>
  <si>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</si>
  <si>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</si>
  <si>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</si>
  <si>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</si>
  <si>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</si>
  <si>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</si>
  <si>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</si>
  <si>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</si>
  <si>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</si>
  <si>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</si>
  <si>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</si>
  <si>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</si>
  <si>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</si>
  <si>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</si>
  <si>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</si>
  <si>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</si>
  <si>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</si>
  <si>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</si>
  <si>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</si>
  <si>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</si>
  <si>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</si>
  <si>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</si>
  <si>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</si>
  <si>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</si>
  <si>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</si>
  <si>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</si>
  <si>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</si>
  <si>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</si>
  <si>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</si>
  <si>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</si>
  <si>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</si>
  <si>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</si>
  <si>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</si>
  <si>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</si>
  <si>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</si>
  <si>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</si>
  <si>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</si>
  <si>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</si>
  <si>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</si>
  <si>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</si>
  <si>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</si>
  <si>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</si>
  <si>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</si>
  <si>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</si>
  <si>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</si>
  <si>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</si>
  <si>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</si>
  <si>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</si>
  <si>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</si>
  <si>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</si>
  <si>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</si>
  <si>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</si>
  <si>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</si>
  <si>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</si>
  <si>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</si>
  <si>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</si>
  <si>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</si>
  <si>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</si>
  <si>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</si>
  <si>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</si>
  <si>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</si>
  <si>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</si>
  <si>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</si>
  <si>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</si>
  <si>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</si>
  <si>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</si>
  <si>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</si>
  <si>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</si>
  <si>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</si>
  <si>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</si>
  <si>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</si>
  <si>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</si>
  <si>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</si>
  <si>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</si>
  <si>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</si>
  <si>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</si>
  <si>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</si>
  <si>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</si>
  <si>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</si>
  <si>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</si>
  <si>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</si>
  <si>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</si>
  <si>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</si>
  <si>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</si>
  <si>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</si>
  <si>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</si>
  <si>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</si>
  <si>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</si>
  <si>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</si>
  <si>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</si>
  <si>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</si>
  <si>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</si>
  <si>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</si>
  <si>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</si>
  <si>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</si>
  <si>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</si>
  <si>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</si>
  <si>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</si>
  <si>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</si>
  <si>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</si>
  <si>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</si>
  <si>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</si>
  <si>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</si>
  <si>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</si>
  <si>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</si>
  <si>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</si>
  <si>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</si>
  <si>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</si>
  <si>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</si>
  <si>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</si>
  <si>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</si>
  <si>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</si>
  <si>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</si>
  <si>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</si>
  <si>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</si>
  <si>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</si>
  <si>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</si>
  <si>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</si>
  <si>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</si>
  <si>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</si>
  <si>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</si>
  <si>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</si>
  <si>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</si>
  <si>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</si>
  <si>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</si>
  <si>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</si>
  <si>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</si>
  <si>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</si>
  <si>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</si>
  <si>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</si>
  <si>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</si>
  <si>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</si>
  <si>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</si>
  <si>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</si>
  <si>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</si>
  <si>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</si>
  <si>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</si>
  <si>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</si>
  <si>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</si>
  <si>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</si>
  <si>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</si>
  <si>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</si>
  <si>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</si>
  <si>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</si>
  <si>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</si>
  <si>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</si>
  <si>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</si>
  <si>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</si>
  <si>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</si>
  <si>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</si>
  <si>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</si>
  <si>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</si>
  <si>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</si>
  <si>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</si>
  <si>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</si>
  <si>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</si>
  <si>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</si>
  <si>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</si>
  <si>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</si>
  <si>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</si>
  <si>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</si>
  <si>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</si>
  <si>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</si>
  <si>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</si>
  <si>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</si>
  <si>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</si>
  <si>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</si>
  <si>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</si>
  <si>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</si>
  <si>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</si>
  <si>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</si>
  <si>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</si>
  <si>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</si>
  <si>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</si>
  <si>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</si>
  <si>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</si>
  <si>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</si>
  <si>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</si>
  <si>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</si>
  <si>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</si>
  <si>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</si>
  <si>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</si>
  <si>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</si>
  <si>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</si>
  <si>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</si>
  <si>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</si>
  <si>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</si>
  <si>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</si>
  <si>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</si>
  <si>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</si>
  <si>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</si>
  <si>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</si>
  <si>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</si>
  <si>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</si>
  <si>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</si>
  <si>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</si>
  <si>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</si>
  <si>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</si>
  <si>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</si>
  <si>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</si>
  <si>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</si>
  <si>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</si>
  <si>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</si>
  <si>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</si>
  <si>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</si>
  <si>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</si>
  <si>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</si>
  <si>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</si>
  <si>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</si>
  <si>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</si>
  <si>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</si>
  <si>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</si>
  <si>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</si>
  <si>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</si>
  <si>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</si>
  <si>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</si>
  <si>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</si>
  <si>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</si>
  <si>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</si>
  <si>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</si>
  <si>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</si>
  <si>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</si>
  <si>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</si>
  <si>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</si>
  <si>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</si>
  <si>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</si>
  <si>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</si>
  <si>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</si>
  <si>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</si>
  <si>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</si>
  <si>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</si>
  <si>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</si>
  <si>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</si>
  <si>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</si>
  <si>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</si>
  <si>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</si>
  <si>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</si>
  <si>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</si>
  <si>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</si>
  <si>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</si>
  <si>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</si>
  <si>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</si>
  <si>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</si>
  <si>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</si>
  <si>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</si>
  <si>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</si>
  <si>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</si>
  <si>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</si>
  <si>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</si>
  <si>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</si>
  <si>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</si>
  <si>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</si>
  <si>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</si>
  <si>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</si>
  <si>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</si>
  <si>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</si>
  <si>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</si>
  <si>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</si>
  <si>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</si>
  <si>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</si>
  <si>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</si>
  <si>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</si>
  <si>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</si>
  <si>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</si>
  <si>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</si>
  <si>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</si>
  <si>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</si>
  <si>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</si>
  <si>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</si>
  <si>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</si>
  <si>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</si>
  <si>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</si>
  <si>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</si>
  <si>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</si>
  <si>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</si>
  <si>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</si>
  <si>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</si>
  <si>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</si>
  <si>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</si>
  <si>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</si>
  <si>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</si>
  <si>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</si>
  <si>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</si>
  <si>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</si>
  <si>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</si>
  <si>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</si>
  <si>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</si>
  <si>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</si>
  <si>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</si>
  <si>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</si>
  <si>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</si>
  <si>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</si>
  <si>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</si>
  <si>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</si>
  <si>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</si>
  <si>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</si>
  <si>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</si>
  <si>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</si>
  <si>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</si>
  <si>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</si>
  <si>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</si>
  <si>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</si>
  <si>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</si>
  <si>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</si>
  <si>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</si>
  <si>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</si>
  <si>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</si>
  <si>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</si>
  <si>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</si>
  <si>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</si>
  <si>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</si>
  <si>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</si>
  <si>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</si>
  <si>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</si>
  <si>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</si>
  <si>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</si>
  <si>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</si>
  <si>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</si>
  <si>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</si>
  <si>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</si>
  <si>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</si>
  <si>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</si>
  <si>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</si>
  <si>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</si>
  <si>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</si>
  <si>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</si>
  <si>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</si>
  <si>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</si>
  <si>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</si>
  <si>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</si>
  <si>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</si>
  <si>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</si>
  <si>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</si>
  <si>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</si>
  <si>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</si>
  <si>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</si>
  <si>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</si>
  <si>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</si>
  <si>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</si>
  <si>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</si>
  <si>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</si>
  <si>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</si>
  <si>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</si>
  <si>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</si>
  <si>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</si>
  <si>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</si>
  <si>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</si>
  <si>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</si>
  <si>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</si>
  <si>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</si>
  <si>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</si>
  <si>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</si>
  <si>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</si>
  <si>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</si>
  <si>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</si>
  <si>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</si>
  <si>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</si>
  <si>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</si>
  <si>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</si>
  <si>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</si>
  <si>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</si>
  <si>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</si>
  <si>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</si>
  <si>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</si>
  <si>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</si>
  <si>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</si>
  <si>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</si>
  <si>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</si>
  <si>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</si>
  <si>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</si>
  <si>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</si>
  <si>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</si>
  <si>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</si>
  <si>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</si>
  <si>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</si>
  <si>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</si>
  <si>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</si>
  <si>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</si>
  <si>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</si>
  <si>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</si>
  <si>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</si>
  <si>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</si>
  <si>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</si>
  <si>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</si>
  <si>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</si>
  <si>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</si>
  <si>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</si>
  <si>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</si>
  <si>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</si>
  <si>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</si>
  <si>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</si>
  <si>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</si>
  <si>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</si>
  <si>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</si>
  <si>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</si>
  <si>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</si>
  <si>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</si>
  <si>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</si>
  <si>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</si>
  <si>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</si>
  <si>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</si>
  <si>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</si>
  <si>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</si>
  <si>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</si>
  <si>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</si>
  <si>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</si>
  <si>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</si>
  <si>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</si>
  <si>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</si>
  <si>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</si>
  <si>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</si>
  <si>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</si>
  <si>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</si>
  <si>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</si>
  <si>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</si>
  <si>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</si>
  <si>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</si>
  <si>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</si>
  <si>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</si>
  <si>
    <t>土地</t>
    <phoneticPr fontId="3" type="noConversion"/>
  </si>
  <si>
    <t>配套房</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</si>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</sst>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1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4" fontId="166" fillId="6" borderId="1" xfId="12" applyNumberFormat="1" applyFont="1" applyFill="1" applyBorder="1" applyAlignment="1" applyProtection="1">
      <alignment horizontal="left" vertical="center" wrapText="1"/>
    </xf>
    <xf numFmtId="190" fontId="79" fillId="0" borderId="1" xfId="0" applyFont="1" applyBorder="1" applyAlignment="1" applyProtection="1">
      <alignment horizontal="left" vertical="center" wrapText="1"/>
      <protection locked="0"/>
    </xf>
    <xf numFmtId="0" fontId="49" fillId="0" borderId="1" xfId="0" applyNumberFormat="1" applyFont="1" applyBorder="1" applyAlignment="1" applyProtection="1">
      <alignment horizontal="center"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6" fillId="6" borderId="1" xfId="0" applyNumberFormat="1" applyFont="1" applyFill="1" applyBorder="1" applyAlignment="1" applyProtection="1">
      <alignment horizontal="left" vertical="center" wrapText="1"/>
      <protection locked="0"/>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protection locked="0"/>
    </xf>
    <xf numFmtId="0" fontId="46" fillId="6" borderId="3" xfId="0" applyNumberFormat="1" applyFont="1" applyFill="1" applyBorder="1" applyAlignment="1" applyProtection="1">
      <alignment horizontal="left" vertical="center" wrapText="1"/>
      <protection locked="0"/>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4" fontId="49" fillId="6" borderId="1"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134" fillId="0" borderId="1" xfId="1" applyNumberFormat="1" applyFont="1" applyFill="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093;&#36745;&#37329;&#30415;&#22312;&#24314;&#37096;&#20998;-&#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A25" t="str">
            <v>北京卓开旭泰房地产开发有限公司</v>
          </cell>
        </row>
        <row r="27">
          <cell r="A27" t="str">
            <v>朝阳区金盏乡小店村3005-02地块R2二类居住用地</v>
          </cell>
        </row>
      </sheetData>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地价"/>
      <sheetName val="土地比较法-工业"/>
      <sheetName val="基准地价修正"/>
      <sheetName val="修正"/>
      <sheetName val="容积率修正"/>
      <sheetName val="基准地价（汇总）"/>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4">
          <cell r="H34">
            <v>479037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992" customWidth="1"/>
    <col min="2" max="2" width="81" style="1009" customWidth="1"/>
    <col min="3" max="16384" width="9" style="1007"/>
  </cols>
  <sheetData>
    <row r="1" spans="1:2" s="995" customFormat="1" ht="16.2" thickBot="1">
      <c r="A1" s="994" t="s">
        <v>946</v>
      </c>
      <c r="B1" s="993" t="s">
        <v>1025</v>
      </c>
    </row>
    <row r="2" spans="1:2" s="998" customFormat="1" ht="16.2"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6.2" thickBot="1">
      <c r="A5" s="1002" t="s">
        <v>950</v>
      </c>
      <c r="B5" s="1003" t="str">
        <f>'预评函-封皮'!B49</f>
        <v>康正预评字号</v>
      </c>
    </row>
    <row r="6" spans="1:2" s="998" customFormat="1" ht="16.2"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6.2" thickBot="1">
      <c r="A18" s="1002" t="s">
        <v>959</v>
      </c>
      <c r="B18" s="1003" t="str">
        <f>'预评函-1'!A24</f>
        <v>本次评估采用的主估价方法为成本法和假设开发法。</v>
      </c>
    </row>
    <row r="19" spans="1:2" s="998" customFormat="1" ht="16.2"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486665</v>
      </c>
    </row>
    <row r="21" spans="1:2" s="1001" customFormat="1">
      <c r="A21" s="999" t="s">
        <v>962</v>
      </c>
      <c r="B21" s="1000">
        <f ca="1">'预评函-2'!D7</f>
        <v>39890</v>
      </c>
    </row>
    <row r="22" spans="1:2" s="1001" customFormat="1">
      <c r="A22" s="999" t="s">
        <v>963</v>
      </c>
      <c r="B22" s="1000" t="str">
        <f ca="1">'预评函-2'!D6</f>
        <v>肆拾捌亿陆仟陆佰陆拾伍万元整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486665</v>
      </c>
    </row>
    <row r="31" spans="1:2" s="1001" customFormat="1">
      <c r="A31" s="999" t="s">
        <v>1001</v>
      </c>
      <c r="B31" s="1000">
        <f ca="1">'预评函-2'!D15</f>
        <v>39890</v>
      </c>
    </row>
    <row r="32" spans="1:2" s="1001" customFormat="1">
      <c r="A32" s="999" t="s">
        <v>968</v>
      </c>
      <c r="B32" s="1000" t="str">
        <f ca="1">'预评函-2'!D14</f>
        <v>肆拾捌亿陆仟陆佰陆拾伍万元整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ht="31.2">
      <c r="A42" s="999" t="s">
        <v>1015</v>
      </c>
      <c r="B42" s="1000" t="str">
        <f>'预评函-3'!B2</f>
        <v>建筑面积</v>
      </c>
    </row>
    <row r="43" spans="1:2" s="1001" customFormat="1">
      <c r="A43" s="999" t="s">
        <v>1016</v>
      </c>
      <c r="B43" s="1000">
        <f>'预评函-3'!B4</f>
        <v>122002.77</v>
      </c>
    </row>
    <row r="44" spans="1:2" s="1001" customFormat="1" ht="31.2">
      <c r="A44" s="999" t="s">
        <v>1000</v>
      </c>
      <c r="B44" s="1000" t="str">
        <f>'预评函-3'!C2</f>
        <v>(分摊)土地面积</v>
      </c>
    </row>
    <row r="45" spans="1:2" s="1001" customFormat="1">
      <c r="A45" s="999" t="s">
        <v>972</v>
      </c>
      <c r="B45" s="1000">
        <f>'预评函-3'!C4</f>
        <v>52221.18</v>
      </c>
    </row>
    <row r="46" spans="1:2" s="1001" customFormat="1">
      <c r="A46" s="999" t="s">
        <v>998</v>
      </c>
      <c r="B46" s="1000" t="str">
        <f>'预评函-3'!D2</f>
        <v>出让国有建设用地使用权价值</v>
      </c>
    </row>
    <row r="47" spans="1:2" s="1001" customFormat="1">
      <c r="A47" s="999" t="s">
        <v>973</v>
      </c>
      <c r="B47" s="1000">
        <f ca="1">'预评函-3'!D4</f>
        <v>456545</v>
      </c>
    </row>
    <row r="48" spans="1:2" s="1001" customFormat="1">
      <c r="A48" s="999" t="s">
        <v>974</v>
      </c>
      <c r="B48" s="1000">
        <f ca="1">'预评函-3'!E4</f>
        <v>37421</v>
      </c>
    </row>
    <row r="49" spans="1:2" s="1001" customFormat="1">
      <c r="A49" s="999" t="s">
        <v>975</v>
      </c>
      <c r="B49" s="1000" t="str">
        <f ca="1">'预评函-3'!D5</f>
        <v>肆拾伍亿陆仟伍佰肆拾伍万元整</v>
      </c>
    </row>
    <row r="50" spans="1:2" s="1001" customFormat="1">
      <c r="A50" s="999" t="s">
        <v>999</v>
      </c>
      <c r="B50" s="1000" t="str">
        <f>'预评函-3'!F2</f>
        <v>在建建筑物价值</v>
      </c>
    </row>
    <row r="51" spans="1:2" s="1001" customFormat="1">
      <c r="A51" s="999" t="s">
        <v>976</v>
      </c>
      <c r="B51" s="1000">
        <f ca="1">'预评函-3'!F4</f>
        <v>30120</v>
      </c>
    </row>
    <row r="52" spans="1:2" s="1001" customFormat="1">
      <c r="A52" s="999" t="s">
        <v>977</v>
      </c>
      <c r="B52" s="1000">
        <f ca="1">'预评函-3'!G4</f>
        <v>2469</v>
      </c>
    </row>
    <row r="53" spans="1:2" s="1001" customFormat="1">
      <c r="A53" s="999" t="s">
        <v>1005</v>
      </c>
      <c r="B53" s="1000" t="str">
        <f ca="1">'预评函-3'!F5</f>
        <v>叁亿零壹佰贰拾万元整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6.2" thickBot="1">
      <c r="A57" s="1002" t="s">
        <v>1024</v>
      </c>
      <c r="B57" s="1003" t="str">
        <f>'预评函-3'!A6</f>
        <v>估价师知悉的法定优先受偿款</v>
      </c>
    </row>
    <row r="58" spans="1:2" s="998" customFormat="1" ht="16.2"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6.2" thickBot="1">
      <c r="A69" s="1002" t="s">
        <v>986</v>
      </c>
      <c r="B69" s="1004">
        <f>'预评函-4'!C31</f>
        <v>42551</v>
      </c>
    </row>
    <row r="70" spans="1:2" ht="16.2" thickTop="1">
      <c r="A70" s="1005" t="s">
        <v>987</v>
      </c>
      <c r="B70" s="1006">
        <f>'预评函-4'!A4</f>
        <v>0</v>
      </c>
    </row>
    <row r="71" spans="1:2">
      <c r="A71" s="999" t="s">
        <v>988</v>
      </c>
      <c r="B71" s="1000">
        <f>'预评函-4'!B4</f>
        <v>0</v>
      </c>
    </row>
    <row r="72" spans="1:2">
      <c r="A72" s="999" t="s">
        <v>989</v>
      </c>
      <c r="B72" s="1008">
        <f>'预评函-4'!A5</f>
        <v>0</v>
      </c>
    </row>
    <row r="73" spans="1:2" s="995" customFormat="1" ht="16.2" thickBot="1">
      <c r="A73" s="1002" t="s">
        <v>990</v>
      </c>
      <c r="B73" s="1003">
        <f>'预评函-4'!B5</f>
        <v>0</v>
      </c>
    </row>
    <row r="74" spans="1:2" ht="16.2"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4.4"/>
  <cols>
    <col min="1" max="1" width="13.44140625" style="1362" customWidth="1"/>
    <col min="2" max="2" width="23.21875" style="1313" customWidth="1"/>
    <col min="3" max="3" width="13" style="1357" customWidth="1"/>
    <col min="4" max="4" width="5.77734375" style="1354" customWidth="1"/>
    <col min="5" max="5" width="7.109375" style="1354" customWidth="1"/>
    <col min="6" max="6" width="10.6640625" style="1354" customWidth="1"/>
    <col min="7" max="7" width="7.44140625" style="1354" customWidth="1"/>
    <col min="8" max="8" width="9" style="1357" customWidth="1"/>
    <col min="9" max="9" width="11.6640625" style="1357" customWidth="1"/>
    <col min="10" max="10" width="9" style="1357" customWidth="1"/>
    <col min="11" max="19" width="9" style="1354" customWidth="1"/>
    <col min="20" max="23" width="9" style="1357" customWidth="1"/>
    <col min="24" max="24" width="21.109375" style="1313" customWidth="1"/>
    <col min="25" max="16384" width="9" style="1313"/>
  </cols>
  <sheetData>
    <row r="1" spans="1:23" s="1351" customFormat="1" ht="28.8">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59"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9"/>
      <c r="B54" s="1360" t="s">
        <v>651</v>
      </c>
      <c r="C54" s="1357" t="s">
        <v>1008</v>
      </c>
    </row>
    <row r="55" spans="1:4">
      <c r="A55" s="3659"/>
      <c r="B55" s="1360" t="s">
        <v>652</v>
      </c>
      <c r="C55" s="1357" t="s">
        <v>1009</v>
      </c>
    </row>
    <row r="56" spans="1:4">
      <c r="A56" s="3659"/>
      <c r="B56" s="1360" t="s">
        <v>653</v>
      </c>
      <c r="C56" s="1357" t="s">
        <v>1013</v>
      </c>
    </row>
    <row r="57" spans="1:4">
      <c r="A57" s="3659"/>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3.2"/>
  <cols>
    <col min="1" max="1" width="16.88671875" style="1442" customWidth="1"/>
    <col min="2" max="2" width="10" style="1442" customWidth="1"/>
    <col min="3" max="3" width="11.44140625" style="1442" customWidth="1"/>
    <col min="4" max="4" width="10" style="1442" customWidth="1"/>
    <col min="5" max="5" width="12.6640625" style="1442" customWidth="1"/>
    <col min="6" max="6" width="10" style="1442" customWidth="1"/>
    <col min="7" max="7" width="10.77734375" style="1442" customWidth="1"/>
    <col min="8" max="8" width="10" style="1442" customWidth="1"/>
    <col min="9" max="9" width="11.10937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8" thickBot="1">
      <c r="A1" s="1876" t="s">
        <v>2667</v>
      </c>
      <c r="B1" s="3660"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61"/>
      <c r="D1" s="3661"/>
      <c r="E1" s="3661"/>
      <c r="F1" s="3661"/>
      <c r="G1" s="3661"/>
      <c r="H1" s="3661"/>
      <c r="I1" s="3662"/>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8"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8"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63" t="s">
        <v>2676</v>
      </c>
      <c r="E8" s="1898" t="s">
        <v>3171</v>
      </c>
      <c r="F8" s="1899"/>
      <c r="G8" s="2070"/>
      <c r="H8" s="2070"/>
      <c r="I8" s="2070"/>
      <c r="J8" s="1946"/>
      <c r="K8" s="2032"/>
      <c r="L8" s="2031"/>
      <c r="M8" s="2031"/>
      <c r="N8" s="1946"/>
      <c r="O8" s="1957"/>
      <c r="P8" s="1946"/>
      <c r="Q8" s="1946"/>
      <c r="R8" s="1946"/>
    </row>
    <row r="9" spans="1:28" ht="13.8" thickBot="1">
      <c r="A9" s="1900" t="s">
        <v>2677</v>
      </c>
      <c r="B9" s="1901" t="s">
        <v>3171</v>
      </c>
      <c r="C9" s="1902"/>
      <c r="D9" s="3664"/>
      <c r="E9" s="1901" t="s">
        <v>70</v>
      </c>
      <c r="F9" s="1903"/>
      <c r="G9" s="2072"/>
      <c r="H9" s="2072"/>
      <c r="I9" s="2072"/>
      <c r="J9" s="1946"/>
      <c r="K9" s="2034"/>
      <c r="L9" s="2031"/>
      <c r="M9" s="2031"/>
      <c r="N9" s="1946"/>
      <c r="O9" s="1957"/>
      <c r="P9" s="1946"/>
      <c r="Q9" s="1946"/>
      <c r="R9" s="1946"/>
    </row>
    <row r="10" spans="1:28" ht="13.8"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5.6">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70"/>
      <c r="C16" s="3671"/>
      <c r="D16" s="3672"/>
      <c r="E16" s="1922" t="s">
        <v>2693</v>
      </c>
      <c r="F16" s="3673"/>
      <c r="G16" s="3674"/>
      <c r="H16" s="3674"/>
      <c r="I16" s="3675"/>
      <c r="J16" s="1946"/>
      <c r="K16" s="2036"/>
      <c r="L16" s="1958"/>
      <c r="M16" s="1958"/>
      <c r="N16" s="2015"/>
      <c r="O16" s="1958"/>
      <c r="P16" s="2015"/>
      <c r="Q16" s="1946"/>
      <c r="R16" s="1946"/>
    </row>
    <row r="17" spans="1:28">
      <c r="A17" s="177" t="s">
        <v>2694</v>
      </c>
      <c r="B17" s="166" t="s">
        <v>2695</v>
      </c>
      <c r="C17" s="2466">
        <f>'数据-汇总表'!E3</f>
        <v>122002.77</v>
      </c>
      <c r="D17" s="1844" t="s">
        <v>2696</v>
      </c>
      <c r="E17" s="3676" t="s">
        <v>2697</v>
      </c>
      <c r="F17" s="3677"/>
      <c r="G17" s="3677"/>
      <c r="H17" s="3677"/>
      <c r="I17" s="3678"/>
      <c r="J17" s="1946"/>
      <c r="K17" s="2037"/>
      <c r="L17" s="1958"/>
      <c r="M17" s="1958"/>
      <c r="N17" s="2015"/>
      <c r="O17" s="1958"/>
      <c r="P17" s="2015"/>
      <c r="Q17" s="1946"/>
      <c r="R17" s="1946"/>
      <c r="S17" s="1946"/>
      <c r="T17" s="1946"/>
      <c r="U17" s="1946"/>
      <c r="V17" s="1946"/>
    </row>
    <row r="18" spans="1:28" ht="24.6" thickBot="1">
      <c r="A18" s="1923" t="s">
        <v>2698</v>
      </c>
      <c r="B18" s="916" t="s">
        <v>2699</v>
      </c>
      <c r="C18" s="3570">
        <f>'数据-汇总表'!D3</f>
        <v>52221.18</v>
      </c>
      <c r="D18" s="918" t="s">
        <v>2700</v>
      </c>
      <c r="E18" s="3679" t="s">
        <v>2701</v>
      </c>
      <c r="F18" s="3680"/>
      <c r="G18" s="3680"/>
      <c r="H18" s="3680"/>
      <c r="I18" s="3681"/>
      <c r="J18" s="1946"/>
      <c r="K18" s="2037"/>
      <c r="L18" s="1958"/>
      <c r="M18" s="1958"/>
      <c r="N18" s="2015"/>
      <c r="O18" s="1958"/>
      <c r="P18" s="2015"/>
      <c r="Q18" s="1946"/>
      <c r="R18" s="1946"/>
      <c r="S18" s="1946"/>
      <c r="T18" s="1946"/>
      <c r="U18" s="1946"/>
      <c r="V18" s="1946"/>
    </row>
    <row r="19" spans="1:28" ht="54"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66" t="s">
        <v>2705</v>
      </c>
      <c r="C20" s="3667"/>
      <c r="D20" s="3668" t="s">
        <v>2706</v>
      </c>
      <c r="E20" s="3669"/>
      <c r="F20" s="2066" t="s">
        <v>1501</v>
      </c>
      <c r="G20" s="2071"/>
      <c r="H20" s="2071"/>
      <c r="I20" s="2071"/>
      <c r="J20" s="1946"/>
      <c r="K20" s="3665"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36.6" thickBot="1">
      <c r="A21" s="2051"/>
      <c r="B21" s="2052" t="s">
        <v>2708</v>
      </c>
      <c r="C21" s="2053" t="s">
        <v>3177</v>
      </c>
      <c r="D21" s="1369" t="s">
        <v>2709</v>
      </c>
      <c r="E21" s="2054" t="s">
        <v>1502</v>
      </c>
      <c r="F21" s="2067"/>
      <c r="G21" s="2071"/>
      <c r="H21" s="2071"/>
      <c r="I21" s="2071"/>
      <c r="J21" s="1946"/>
      <c r="K21" s="3665"/>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36.6" thickBot="1">
      <c r="A22" s="2051"/>
      <c r="B22" s="2055" t="s">
        <v>2710</v>
      </c>
      <c r="C22" s="2053" t="s">
        <v>1503</v>
      </c>
      <c r="D22" s="2070"/>
      <c r="E22" s="2070"/>
      <c r="F22" s="2070"/>
      <c r="G22" s="2071"/>
      <c r="H22" s="2071"/>
      <c r="I22" s="2071"/>
      <c r="J22" s="1946"/>
      <c r="K22" s="3665"/>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8"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8" thickTop="1">
      <c r="A27" s="3683"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83"/>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83"/>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84"/>
      <c r="B30" s="166" t="s">
        <v>2717</v>
      </c>
      <c r="C30" s="3685"/>
      <c r="D30" s="3686"/>
      <c r="E30" s="2071"/>
      <c r="F30" s="2071"/>
      <c r="G30" s="2071"/>
      <c r="H30" s="2071"/>
      <c r="I30" s="2071"/>
      <c r="J30" s="1946"/>
      <c r="K30" s="2034"/>
      <c r="L30" s="2031"/>
      <c r="M30" s="2031"/>
      <c r="N30" s="1946"/>
      <c r="O30" s="1957"/>
      <c r="P30" s="1946"/>
      <c r="Q30" s="1946"/>
      <c r="R30" s="1946"/>
      <c r="S30" s="1946"/>
      <c r="T30" s="1946"/>
      <c r="U30" s="1946"/>
      <c r="V30" s="1946"/>
    </row>
    <row r="31" spans="1:28">
      <c r="A31" s="3687"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88"/>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88"/>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82" t="s">
        <v>2727</v>
      </c>
      <c r="T34" s="1935" t="str">
        <f>NUMBERSTRING(7-K34,1)&amp;"通"</f>
        <v>七通</v>
      </c>
      <c r="U34" s="1946"/>
      <c r="V34" s="1946"/>
    </row>
    <row r="35" spans="1:30">
      <c r="A35" s="1936"/>
      <c r="B35" s="3689" t="s">
        <v>2728</v>
      </c>
      <c r="C35" s="3689"/>
      <c r="D35" s="3689"/>
      <c r="E35" s="3689"/>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82"/>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8"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4"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2">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4" sqref="O14"/>
    </sheetView>
  </sheetViews>
  <sheetFormatPr defaultColWidth="8.88671875" defaultRowHeight="13.8"/>
  <cols>
    <col min="1" max="1" width="10.6640625" style="1374" customWidth="1"/>
    <col min="2" max="2" width="11" style="1374" customWidth="1"/>
    <col min="3" max="3" width="10.33203125" style="1374" customWidth="1"/>
    <col min="4" max="4" width="9.109375" style="1374" customWidth="1"/>
    <col min="5" max="6" width="10" style="1435" customWidth="1"/>
    <col min="7" max="8" width="10" style="1374" customWidth="1"/>
    <col min="9" max="9" width="10.6640625" style="1374" customWidth="1"/>
    <col min="10" max="10" width="9.44140625" style="1374" customWidth="1"/>
    <col min="11" max="11" width="11" style="1374" customWidth="1"/>
    <col min="12" max="14" width="9.44140625" style="1374" customWidth="1"/>
    <col min="15" max="15" width="9.88671875" style="1374" customWidth="1"/>
    <col min="16" max="16" width="9.77734375" style="1374" customWidth="1"/>
    <col min="17" max="17" width="9.33203125" style="1374" hidden="1" customWidth="1"/>
    <col min="18" max="18" width="9.21875" style="1374" hidden="1" customWidth="1"/>
    <col min="19" max="19" width="10.88671875" style="1374" hidden="1" customWidth="1"/>
    <col min="20" max="21" width="10.77734375" style="1374" hidden="1" customWidth="1"/>
    <col min="22" max="22" width="10.88671875" style="1374" hidden="1" customWidth="1"/>
    <col min="23" max="27" width="10.77734375" style="1374" hidden="1" customWidth="1"/>
    <col min="28" max="28" width="10.88671875" style="1374" hidden="1" customWidth="1"/>
    <col min="29" max="29" width="11" style="1374" bestFit="1" customWidth="1"/>
    <col min="30" max="30" width="10" style="1374" bestFit="1" customWidth="1"/>
    <col min="31" max="31" width="9.77734375" style="1374" customWidth="1"/>
    <col min="32" max="46" width="9.44140625" style="1374" customWidth="1"/>
    <col min="47" max="47" width="18.109375" style="1374" customWidth="1"/>
    <col min="48" max="50" width="9.77734375" style="1374" customWidth="1"/>
    <col min="51" max="55" width="10.44140625" style="1374" bestFit="1" customWidth="1"/>
    <col min="56" max="56" width="9.44140625" style="1374" bestFit="1" customWidth="1"/>
    <col min="57" max="63" width="9.109375" style="1374" bestFit="1" customWidth="1"/>
    <col min="64" max="64" width="9.44140625" style="1374" bestFit="1" customWidth="1"/>
    <col min="65" max="65" width="9.109375" style="1374" bestFit="1" customWidth="1"/>
    <col min="66" max="66" width="9.44140625" style="1374" bestFit="1" customWidth="1"/>
    <col min="67" max="69" width="9.109375" style="1374" bestFit="1" customWidth="1"/>
    <col min="70" max="70" width="9.44140625" style="1374" bestFit="1" customWidth="1"/>
    <col min="71" max="71" width="9" style="1374" customWidth="1"/>
    <col min="72" max="72" width="9.109375" style="1374" bestFit="1" customWidth="1"/>
    <col min="73" max="16384" width="8.88671875" style="1374"/>
  </cols>
  <sheetData>
    <row r="1" spans="1:72" ht="21">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3.2">
      <c r="A3" s="13">
        <f>A13+A14</f>
        <v>52221.183200802821</v>
      </c>
      <c r="B3" s="14">
        <f>IF(C3="否",G5-AT5,G5)</f>
        <v>122002.77</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3.2">
      <c r="A5" s="15" t="s">
        <v>1516</v>
      </c>
      <c r="B5" s="1154"/>
      <c r="C5" s="1154"/>
      <c r="D5" s="1155"/>
      <c r="E5" s="16" t="s">
        <v>1</v>
      </c>
      <c r="F5" s="16">
        <f>SUM(F13:F587)</f>
        <v>0</v>
      </c>
      <c r="G5" s="16">
        <f>SUM(G13:G587)</f>
        <v>122002.77</v>
      </c>
      <c r="H5" s="16">
        <f t="shared" ref="H5:AT5" si="0">SUM(H13:H656)</f>
        <v>122002.77</v>
      </c>
      <c r="I5" s="16">
        <f t="shared" si="0"/>
        <v>73162.550000000017</v>
      </c>
      <c r="J5" s="16">
        <f t="shared" si="0"/>
        <v>0</v>
      </c>
      <c r="K5" s="16">
        <f t="shared" si="0"/>
        <v>17166.82</v>
      </c>
      <c r="L5" s="16">
        <f t="shared" si="0"/>
        <v>0</v>
      </c>
      <c r="M5" s="16">
        <f t="shared" si="0"/>
        <v>31436.179999999993</v>
      </c>
      <c r="N5" s="16">
        <f t="shared" si="0"/>
        <v>0</v>
      </c>
      <c r="O5" s="16">
        <f t="shared" si="0"/>
        <v>237.22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122002.77</v>
      </c>
      <c r="BA5" s="18">
        <f t="shared" si="1"/>
        <v>122002.77</v>
      </c>
      <c r="BB5" s="18">
        <f t="shared" si="1"/>
        <v>73162.550000000017</v>
      </c>
      <c r="BC5" s="18">
        <f t="shared" si="1"/>
        <v>17166.82</v>
      </c>
      <c r="BD5" s="18">
        <f t="shared" si="1"/>
        <v>31436.179999999993</v>
      </c>
      <c r="BE5" s="18">
        <f t="shared" si="1"/>
        <v>237.22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3.2">
      <c r="A6" s="15" t="s">
        <v>1517</v>
      </c>
      <c r="B6" s="1387"/>
      <c r="C6" s="1387"/>
      <c r="D6" s="1388"/>
      <c r="E6" s="16">
        <f>H6+AC6+AT6</f>
        <v>52221.19</v>
      </c>
      <c r="F6" s="16" t="s">
        <v>1</v>
      </c>
      <c r="G6" s="16" t="s">
        <v>2</v>
      </c>
      <c r="H6" s="20">
        <f>SUMIF(I$12:AB$12,"总值",I6:AB6)</f>
        <v>52221.19</v>
      </c>
      <c r="I6" s="16">
        <f t="shared" ref="I6:AB6" si="2">ROUND($A$3*I5/$B$3,2)</f>
        <v>31315.97</v>
      </c>
      <c r="J6" s="16">
        <f t="shared" si="2"/>
        <v>0</v>
      </c>
      <c r="K6" s="16">
        <f t="shared" si="2"/>
        <v>7347.96</v>
      </c>
      <c r="L6" s="16">
        <f t="shared" si="2"/>
        <v>0</v>
      </c>
      <c r="M6" s="16">
        <f t="shared" si="2"/>
        <v>13455.72</v>
      </c>
      <c r="N6" s="16">
        <f t="shared" si="2"/>
        <v>0</v>
      </c>
      <c r="O6" s="16">
        <f t="shared" si="2"/>
        <v>101.54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52221.18</v>
      </c>
      <c r="AZ6" s="16" t="s">
        <v>3</v>
      </c>
      <c r="BA6" s="16">
        <f>ROUND($AY$6*BA5/$AZ$5,2)</f>
        <v>52221.18</v>
      </c>
      <c r="BB6" s="16">
        <f>ROUND($AY$6*BB5/$AZ$5,2)</f>
        <v>31315.97</v>
      </c>
      <c r="BC6" s="16">
        <f t="shared" ref="BC6:BH6" si="4">ROUND($AY$6*BC5/$AZ$5,2)</f>
        <v>7347.96</v>
      </c>
      <c r="BD6" s="16">
        <f t="shared" si="4"/>
        <v>13455.71</v>
      </c>
      <c r="BE6" s="16">
        <f t="shared" si="4"/>
        <v>101.54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5.2">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3.2">
      <c r="A9" s="1395"/>
      <c r="B9" s="1395"/>
      <c r="C9" s="1395"/>
      <c r="D9" s="1395"/>
      <c r="E9" s="1395"/>
      <c r="F9" s="1395"/>
      <c r="G9" s="897"/>
      <c r="H9" s="1403" t="s">
        <v>1536</v>
      </c>
      <c r="I9" s="2420" t="s">
        <v>3178</v>
      </c>
      <c r="J9" s="684"/>
      <c r="K9" s="2420" t="s">
        <v>3181</v>
      </c>
      <c r="L9" s="684"/>
      <c r="M9" s="2420" t="s">
        <v>3181</v>
      </c>
      <c r="N9" s="684"/>
      <c r="O9" s="1404" t="s">
        <v>3178</v>
      </c>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3.2">
      <c r="A10" s="1395"/>
      <c r="B10" s="1395"/>
      <c r="C10" s="1395"/>
      <c r="D10" s="1395"/>
      <c r="E10" s="1395"/>
      <c r="F10" s="1395"/>
      <c r="G10" s="897"/>
      <c r="H10" s="28"/>
      <c r="I10" s="2420" t="s">
        <v>3179</v>
      </c>
      <c r="J10" s="684"/>
      <c r="K10" s="2422" t="s">
        <v>3182</v>
      </c>
      <c r="L10" s="684"/>
      <c r="M10" s="2422" t="s">
        <v>3183</v>
      </c>
      <c r="N10" s="684"/>
      <c r="O10" s="1410" t="s">
        <v>70</v>
      </c>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t="str">
        <f>O9</f>
        <v>地上</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3.2">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t="str">
        <f>O10</f>
        <v>——</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3.2">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3.2">
      <c r="A13" s="13">
        <v>41558.873200802824</v>
      </c>
      <c r="B13" s="878"/>
      <c r="C13" s="3615" t="s">
        <v>3570</v>
      </c>
      <c r="D13" s="1426" t="s">
        <v>3175</v>
      </c>
      <c r="E13" s="16">
        <f>IF($C$3="是",ROUND($A$3*G13/$B$3,2),ROUND($A$3*(G13-AT13)/$B$3,2))</f>
        <v>41558.879999999997</v>
      </c>
      <c r="F13" s="32"/>
      <c r="G13" s="33">
        <f>H13+AC13+AT13</f>
        <v>97092.75</v>
      </c>
      <c r="H13" s="20">
        <f>SUMIF(I$12:AB$12,"总值",I13:AB13)</f>
        <v>97092.75</v>
      </c>
      <c r="I13" s="1427">
        <v>48489.750000000015</v>
      </c>
      <c r="J13" s="1427"/>
      <c r="K13" s="1427">
        <v>17166.82</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41558.873200802824</v>
      </c>
      <c r="AW13" s="11">
        <f t="shared" si="6"/>
        <v>0</v>
      </c>
      <c r="AX13" s="11" t="str">
        <f t="shared" si="6"/>
        <v>在建</v>
      </c>
      <c r="AY13" s="1155">
        <f>ROUND($AY$6*AZ13/$AZ$5,2)</f>
        <v>41558.879999999997</v>
      </c>
      <c r="AZ13" s="16">
        <f>BA13+BL13</f>
        <v>97092.75</v>
      </c>
      <c r="BA13" s="16">
        <f>SUM(BB13:BK13)</f>
        <v>97092.75</v>
      </c>
      <c r="BB13" s="16">
        <f>IF($D13="是",I13-J13,0)</f>
        <v>48489.750000000015</v>
      </c>
      <c r="BC13" s="16">
        <f>IF($D13="是",K13-L13,0)</f>
        <v>17166.82</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3.2">
      <c r="A14" s="3616">
        <v>10662.31</v>
      </c>
      <c r="B14" s="878"/>
      <c r="C14" s="3615" t="s">
        <v>3587</v>
      </c>
      <c r="D14" s="1426" t="s">
        <v>3175</v>
      </c>
      <c r="E14" s="16">
        <f>IF($C$3="是",ROUND($A$3*G14/$B$3,2),ROUND($A$3*(G14-AT14)/$B$3,2))</f>
        <v>10662.3</v>
      </c>
      <c r="F14" s="32"/>
      <c r="G14" s="33">
        <f>H14+AC14+AT14</f>
        <v>24910.02</v>
      </c>
      <c r="H14" s="20">
        <f>SUMIF(I$12:AB$12,"总值",I14:AB14)</f>
        <v>24910.02</v>
      </c>
      <c r="I14" s="1427">
        <v>24672.799999999999</v>
      </c>
      <c r="J14" s="1427"/>
      <c r="K14" s="1427"/>
      <c r="L14" s="1427"/>
      <c r="M14" s="1427"/>
      <c r="N14" s="1427"/>
      <c r="O14" s="1427">
        <v>237.22</v>
      </c>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10662.31</v>
      </c>
      <c r="AW14" s="11">
        <f t="shared" si="6"/>
        <v>0</v>
      </c>
      <c r="AX14" s="11" t="str">
        <f t="shared" si="6"/>
        <v>土地</v>
      </c>
      <c r="AY14" s="1155">
        <f>ROUND($AY$6*AZ14/$AZ$5,2)</f>
        <v>10662.3</v>
      </c>
      <c r="AZ14" s="16">
        <f>BA14+BL14</f>
        <v>24910.02</v>
      </c>
      <c r="BA14" s="16">
        <f>SUM(BB14:BK14)</f>
        <v>24910.02</v>
      </c>
      <c r="BB14" s="16">
        <f>IF($D14="是",I14-J14,0)</f>
        <v>24672.799999999999</v>
      </c>
      <c r="BC14" s="16">
        <f>IF($D14="是",K14-L14,0)</f>
        <v>0</v>
      </c>
      <c r="BD14" s="16">
        <f>IF($D14="是",M14-N14,0)</f>
        <v>0</v>
      </c>
      <c r="BE14" s="16">
        <f>IF($D14="是",O14-P14,0)</f>
        <v>237.22</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3.2">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3.2">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3.2">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690" t="s">
        <v>0</v>
      </c>
      <c r="B1" s="3690" t="s">
        <v>4</v>
      </c>
      <c r="C1" s="3690" t="s">
        <v>5</v>
      </c>
      <c r="D1" s="3691" t="s">
        <v>53</v>
      </c>
      <c r="E1" s="3691" t="s">
        <v>54</v>
      </c>
      <c r="F1" s="3691"/>
      <c r="G1" s="3691"/>
      <c r="H1" s="3691"/>
      <c r="I1" s="3691"/>
      <c r="J1" s="3691"/>
      <c r="K1" s="3691"/>
      <c r="L1" s="3691"/>
      <c r="M1" s="3691"/>
    </row>
    <row r="2" spans="1:13" ht="27" customHeight="1">
      <c r="A2" s="3690"/>
      <c r="B2" s="3690"/>
      <c r="C2" s="3690"/>
      <c r="D2" s="3691"/>
      <c r="E2" s="3691" t="s">
        <v>37</v>
      </c>
      <c r="F2" s="3691" t="s">
        <v>38</v>
      </c>
      <c r="G2" s="3691"/>
      <c r="H2" s="3691"/>
      <c r="I2" s="3691"/>
      <c r="J2" s="3691" t="s">
        <v>39</v>
      </c>
      <c r="K2" s="3691"/>
      <c r="L2" s="3691"/>
      <c r="M2" s="3691"/>
    </row>
    <row r="3" spans="1:13" ht="46.8">
      <c r="A3" s="3690"/>
      <c r="B3" s="3690"/>
      <c r="C3" s="3690"/>
      <c r="D3" s="3691"/>
      <c r="E3" s="36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1" t="s">
        <v>55</v>
      </c>
      <c r="B9" s="3691"/>
      <c r="C9" s="36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19" sqref="F19:G21"/>
    </sheetView>
  </sheetViews>
  <sheetFormatPr defaultColWidth="9.21875" defaultRowHeight="13.8"/>
  <cols>
    <col min="1" max="1" width="12.109375" style="3089" customWidth="1"/>
    <col min="2" max="2" width="10.21875" style="3089" customWidth="1"/>
    <col min="3" max="3" width="18.44140625" style="3089" customWidth="1"/>
    <col min="4" max="4" width="11.6640625" style="3089" customWidth="1"/>
    <col min="5" max="5" width="13.33203125" style="3089" customWidth="1"/>
    <col min="6" max="8" width="11.44140625" style="3089" customWidth="1"/>
    <col min="9" max="9" width="11.109375" style="3089" customWidth="1"/>
    <col min="10" max="10" width="3.109375" style="3166" customWidth="1"/>
    <col min="11" max="16" width="10" style="3089" customWidth="1"/>
    <col min="17" max="17" width="2.6640625" style="3089" customWidth="1"/>
    <col min="18" max="18" width="9.33203125" style="3089" bestFit="1" customWidth="1"/>
    <col min="19" max="19" width="10.44140625" style="3089" bestFit="1" customWidth="1"/>
    <col min="20" max="16384" width="9.21875" style="3089"/>
  </cols>
  <sheetData>
    <row r="1" spans="1:16" ht="18" thickBot="1">
      <c r="A1" s="3087" t="s">
        <v>1575</v>
      </c>
      <c r="B1" s="3088"/>
      <c r="C1" s="3088"/>
      <c r="D1" s="3088"/>
      <c r="E1" s="3088"/>
      <c r="F1" s="3088"/>
      <c r="G1" s="3088"/>
      <c r="H1" s="3088"/>
      <c r="I1" s="3088"/>
      <c r="J1" s="3088"/>
      <c r="K1" s="3088"/>
      <c r="L1" s="3088"/>
      <c r="M1" s="3088"/>
      <c r="N1" s="3088"/>
      <c r="O1" s="3088"/>
      <c r="P1" s="3088"/>
    </row>
    <row r="2" spans="1:16" ht="14.4">
      <c r="A2" s="3701" t="s">
        <v>1576</v>
      </c>
      <c r="B2" s="3701"/>
      <c r="C2" s="3701"/>
      <c r="D2" s="2447" t="s">
        <v>1552</v>
      </c>
      <c r="E2" s="3090" t="s">
        <v>1553</v>
      </c>
      <c r="F2" s="3091"/>
      <c r="G2" s="3092"/>
      <c r="H2" s="3093"/>
      <c r="I2" s="3094" t="s">
        <v>1577</v>
      </c>
      <c r="J2" s="3091"/>
      <c r="K2" s="3091"/>
      <c r="L2" s="3091"/>
      <c r="M2" s="3091"/>
      <c r="N2" s="3043"/>
      <c r="O2" s="3091"/>
      <c r="P2" s="3091"/>
    </row>
    <row r="3" spans="1:16" ht="15" thickBot="1">
      <c r="A3" s="3702" t="s">
        <v>1550</v>
      </c>
      <c r="B3" s="3702"/>
      <c r="C3" s="3702"/>
      <c r="D3" s="3095">
        <f>'数据-基础表'!AY6</f>
        <v>52221.18</v>
      </c>
      <c r="E3" s="3095">
        <f>'数据-基础表'!AZ5</f>
        <v>122002.77</v>
      </c>
      <c r="F3" s="3091"/>
      <c r="G3" s="3096"/>
      <c r="H3" s="3097" t="s">
        <v>1551</v>
      </c>
      <c r="I3" s="3008">
        <f>ROUND('数据-基础表'!B3/'数据-基础表'!A3,2)</f>
        <v>2.34</v>
      </c>
      <c r="J3" s="3091"/>
      <c r="K3" s="3091"/>
      <c r="L3" s="3091"/>
      <c r="M3" s="3091"/>
      <c r="N3" s="3043"/>
      <c r="O3" s="3091"/>
      <c r="P3" s="3091"/>
    </row>
    <row r="4" spans="1:16" ht="14.4">
      <c r="A4" s="3703"/>
      <c r="B4" s="3704"/>
      <c r="C4" s="3705"/>
      <c r="D4" s="3098" t="s">
        <v>1552</v>
      </c>
      <c r="E4" s="3099" t="s">
        <v>1553</v>
      </c>
      <c r="F4" s="3091"/>
      <c r="G4" s="3100" t="s">
        <v>1578</v>
      </c>
      <c r="H4" s="3097" t="s">
        <v>1558</v>
      </c>
      <c r="I4" s="3008">
        <f>ROUND(SUMIF('数据-基础表'!I9:AS9,"地上",'数据-基础表'!I5:AS5)/'数据-基础表'!A3,2)</f>
        <v>1.41</v>
      </c>
      <c r="J4" s="3091"/>
      <c r="K4" s="3091"/>
      <c r="L4" s="3091"/>
      <c r="M4" s="3091"/>
      <c r="N4" s="3043"/>
      <c r="O4" s="3091"/>
      <c r="P4" s="3091"/>
    </row>
    <row r="5" spans="1:16" ht="14.4">
      <c r="A5" s="3101" t="s">
        <v>1554</v>
      </c>
      <c r="B5" s="3706" t="s">
        <v>1555</v>
      </c>
      <c r="C5" s="3706"/>
      <c r="D5" s="3004">
        <f>ROUND($D$3*E5/$E$3,2)</f>
        <v>31315.97</v>
      </c>
      <c r="E5" s="3006">
        <f>SUMIF('数据-基础表'!$11:$11,"住宅",'数据-基础表'!$5:$5)</f>
        <v>73162.550000000017</v>
      </c>
      <c r="F5" s="3091"/>
      <c r="G5" s="3096"/>
      <c r="H5" s="3097" t="s">
        <v>1551</v>
      </c>
      <c r="I5" s="3008">
        <f>ROUND(E31/D31,2)</f>
        <v>2.34</v>
      </c>
      <c r="J5" s="3091"/>
      <c r="K5" s="3091"/>
      <c r="L5" s="3091"/>
      <c r="M5" s="3091"/>
      <c r="N5" s="3091"/>
      <c r="O5" s="3091"/>
      <c r="P5" s="3091"/>
    </row>
    <row r="6" spans="1:16" ht="15" thickBot="1">
      <c r="A6" s="3102"/>
      <c r="B6" s="3706" t="s">
        <v>1556</v>
      </c>
      <c r="C6" s="3706"/>
      <c r="D6" s="3004">
        <f>ROUND($D$3*E6/$E$3,2)</f>
        <v>20905.21</v>
      </c>
      <c r="E6" s="3006">
        <f>E3-E5</f>
        <v>48840.219999999987</v>
      </c>
      <c r="F6" s="3091"/>
      <c r="G6" s="3103" t="s">
        <v>1557</v>
      </c>
      <c r="H6" s="3104" t="s">
        <v>1558</v>
      </c>
      <c r="I6" s="3065">
        <f>ROUND(F31/D31,2)</f>
        <v>1.41</v>
      </c>
      <c r="J6" s="3091"/>
      <c r="K6" s="3091"/>
      <c r="L6" s="3091"/>
      <c r="M6" s="3091"/>
      <c r="N6" s="3091"/>
      <c r="O6" s="3091"/>
      <c r="P6" s="3091"/>
    </row>
    <row r="7" spans="1:16" ht="15" thickBot="1">
      <c r="A7" s="3698"/>
      <c r="B7" s="3699"/>
      <c r="C7" s="3700"/>
      <c r="D7" s="3098" t="s">
        <v>1552</v>
      </c>
      <c r="E7" s="3105" t="s">
        <v>1559</v>
      </c>
      <c r="F7" s="3091"/>
      <c r="G7" s="3106" t="s">
        <v>1560</v>
      </c>
      <c r="H7" s="3107"/>
      <c r="I7" s="3068">
        <v>1.3</v>
      </c>
      <c r="J7" s="3091"/>
      <c r="K7" s="3091"/>
      <c r="L7" s="3091"/>
      <c r="M7" s="3091"/>
      <c r="N7" s="3091"/>
      <c r="O7" s="3091"/>
      <c r="P7" s="3091"/>
    </row>
    <row r="8" spans="1:16" ht="14.4">
      <c r="A8" s="3101" t="s">
        <v>1561</v>
      </c>
      <c r="B8" s="3108" t="s">
        <v>1562</v>
      </c>
      <c r="C8" s="3004" t="s">
        <v>1563</v>
      </c>
      <c r="D8" s="3004">
        <f t="shared" ref="D8:D15" si="0">ROUND($D$3*E8/$E$3,2)</f>
        <v>31417.5</v>
      </c>
      <c r="E8" s="3006">
        <f>SUMIF('数据-基础表'!BB10:BK10,"地上",'数据-基础表'!BB5:BK5)</f>
        <v>73399.770000000019</v>
      </c>
      <c r="F8" s="3091"/>
      <c r="G8" s="3109"/>
      <c r="H8" s="3109"/>
      <c r="I8" s="3091"/>
      <c r="J8" s="3091"/>
      <c r="K8" s="3091"/>
      <c r="L8" s="3091"/>
      <c r="M8" s="3091"/>
      <c r="N8" s="3091"/>
      <c r="O8" s="3091"/>
      <c r="P8" s="3091"/>
    </row>
    <row r="9" spans="1:16" ht="14.4">
      <c r="A9" s="3110"/>
      <c r="B9" s="3111"/>
      <c r="C9" s="3004" t="s">
        <v>1564</v>
      </c>
      <c r="D9" s="3004">
        <f t="shared" si="0"/>
        <v>-101.54</v>
      </c>
      <c r="E9" s="3112">
        <f>-F22</f>
        <v>-237.22</v>
      </c>
      <c r="F9" s="3091"/>
      <c r="G9" s="3109"/>
      <c r="H9" s="3109"/>
      <c r="I9" s="3091"/>
      <c r="J9" s="3091"/>
      <c r="K9" s="3091"/>
      <c r="L9" s="3091"/>
      <c r="M9" s="3091"/>
      <c r="N9" s="3091"/>
      <c r="O9" s="3091"/>
      <c r="P9" s="3091"/>
    </row>
    <row r="10" spans="1:16" ht="14.4">
      <c r="A10" s="3110"/>
      <c r="B10" s="3111"/>
      <c r="C10" s="3004" t="s">
        <v>1573</v>
      </c>
      <c r="D10" s="3004">
        <f t="shared" si="0"/>
        <v>0</v>
      </c>
      <c r="E10" s="3006">
        <f>SUMPRODUCT(('数据-基础表'!BB10:BK10="地下")*('数据-基础表'!BB11:BK11="商业")*('数据-基础表'!BB5:BK5))</f>
        <v>0</v>
      </c>
      <c r="F10" s="3091"/>
      <c r="G10" s="3109"/>
      <c r="H10" s="3109"/>
      <c r="I10" s="3091"/>
      <c r="J10" s="3091"/>
      <c r="K10" s="3091"/>
      <c r="L10" s="3091"/>
      <c r="M10" s="3091"/>
      <c r="N10" s="3091"/>
      <c r="O10" s="3091"/>
      <c r="P10" s="3091"/>
    </row>
    <row r="11" spans="1:16" ht="14.4">
      <c r="A11" s="3110"/>
      <c r="B11" s="3111"/>
      <c r="C11" s="3004" t="s">
        <v>1565</v>
      </c>
      <c r="D11" s="3004">
        <f t="shared" si="0"/>
        <v>0</v>
      </c>
      <c r="E11" s="3006">
        <f>SUMPRODUCT(('数据-基础表'!BB10:BK10="地下")*('数据-基础表'!BB11:BK11="办公")*('数据-基础表'!BB5:BK5))+'数据-基础表'!BP5</f>
        <v>0</v>
      </c>
      <c r="F11" s="3091"/>
      <c r="G11" s="3109"/>
      <c r="H11" s="3109"/>
      <c r="I11" s="3091"/>
      <c r="J11" s="3091"/>
      <c r="K11" s="3091"/>
      <c r="L11" s="3091"/>
      <c r="M11" s="3091"/>
      <c r="N11" s="3091"/>
      <c r="O11" s="3091"/>
      <c r="P11" s="3091"/>
    </row>
    <row r="12" spans="1:16" ht="14.4">
      <c r="A12" s="3110"/>
      <c r="B12" s="3111"/>
      <c r="C12" s="3004" t="s">
        <v>1566</v>
      </c>
      <c r="D12" s="3004">
        <f t="shared" si="0"/>
        <v>13455.71</v>
      </c>
      <c r="E12" s="3006">
        <f>SUMPRODUCT(('数据-基础表'!BB10:BK10="地下")*('数据-基础表'!BB11:BK11="仓储")*('数据-基础表'!BB5:BK5))</f>
        <v>31436.179999999993</v>
      </c>
      <c r="F12" s="3091"/>
      <c r="G12" s="3109"/>
      <c r="H12" s="3109"/>
      <c r="I12" s="3091"/>
      <c r="J12" s="3091"/>
      <c r="K12" s="3091"/>
      <c r="L12" s="3091"/>
      <c r="M12" s="3091"/>
      <c r="N12" s="3091"/>
      <c r="O12" s="3091"/>
      <c r="P12" s="3091"/>
    </row>
    <row r="13" spans="1:16" ht="14.4">
      <c r="A13" s="3110"/>
      <c r="B13" s="3111"/>
      <c r="C13" s="3004" t="s">
        <v>1567</v>
      </c>
      <c r="D13" s="3004">
        <f t="shared" si="0"/>
        <v>7347.96</v>
      </c>
      <c r="E13" s="3006">
        <f>SUMPRODUCT(('数据-基础表'!BB10:BK10="地下")*('数据-基础表'!BB11:BK11="车库")*('数据-基础表'!BB5:BK5))</f>
        <v>17166.82</v>
      </c>
      <c r="F13" s="3091"/>
      <c r="G13" s="3109"/>
      <c r="H13" s="3109"/>
      <c r="I13" s="3091"/>
      <c r="J13" s="3091"/>
      <c r="K13" s="3091"/>
      <c r="L13" s="3091"/>
      <c r="M13" s="3091"/>
      <c r="N13" s="3091"/>
      <c r="O13" s="3091"/>
      <c r="P13" s="3091"/>
    </row>
    <row r="14" spans="1:16" ht="14.4">
      <c r="A14" s="3110"/>
      <c r="B14" s="3111"/>
      <c r="C14" s="3004" t="s">
        <v>1579</v>
      </c>
      <c r="D14" s="3004">
        <f t="shared" si="0"/>
        <v>0</v>
      </c>
      <c r="E14" s="3006">
        <f>SUMPRODUCT(('数据-基础表'!BB10:BK10="地下")*('数据-基础表'!BB11:BK11="车库—商业")*('数据-基础表'!BB5:BK5))</f>
        <v>0</v>
      </c>
      <c r="F14" s="3091"/>
      <c r="G14" s="3109"/>
      <c r="H14" s="3109"/>
      <c r="I14" s="3091"/>
      <c r="J14" s="3091"/>
      <c r="K14" s="3091"/>
      <c r="L14" s="3091"/>
      <c r="M14" s="3091"/>
      <c r="N14" s="3091"/>
      <c r="O14" s="3091"/>
      <c r="P14" s="3091"/>
    </row>
    <row r="15" spans="1:16" ht="15" thickBot="1">
      <c r="A15" s="3110"/>
      <c r="B15" s="3111"/>
      <c r="C15" s="3004" t="s">
        <v>1574</v>
      </c>
      <c r="D15" s="3004">
        <f t="shared" si="0"/>
        <v>0</v>
      </c>
      <c r="E15" s="3006">
        <f>SUMPRODUCT(('数据-基础表'!BB10:BK10="地下")*('数据-基础表'!BB11:BK11="车库—办公")*('数据-基础表'!BB5:BK5))</f>
        <v>0</v>
      </c>
      <c r="F15" s="3091"/>
      <c r="G15" s="3109"/>
      <c r="H15" s="3109"/>
      <c r="I15" s="3091"/>
      <c r="J15" s="3091"/>
      <c r="K15" s="3091"/>
      <c r="L15" s="3091"/>
      <c r="M15" s="3091"/>
      <c r="N15" s="3091"/>
      <c r="O15" s="3091"/>
      <c r="P15" s="3091"/>
    </row>
    <row r="16" spans="1:16" ht="15" thickBot="1">
      <c r="A16" s="3102"/>
      <c r="B16" s="3111"/>
      <c r="C16" s="3108" t="s">
        <v>1568</v>
      </c>
      <c r="D16" s="3108">
        <f>SUM(D8:D15)</f>
        <v>52119.63</v>
      </c>
      <c r="E16" s="3113">
        <f>SUM(E8:E15)</f>
        <v>121765.55000000002</v>
      </c>
      <c r="F16" s="3091"/>
      <c r="G16" s="3109"/>
      <c r="H16" s="3114" t="s">
        <v>1580</v>
      </c>
      <c r="I16" s="3115"/>
      <c r="J16" s="3088"/>
      <c r="K16" s="3695" t="s">
        <v>1580</v>
      </c>
      <c r="L16" s="3696"/>
      <c r="M16" s="3696"/>
      <c r="N16" s="3696"/>
      <c r="O16" s="3696"/>
      <c r="P16" s="3697"/>
    </row>
    <row r="17" spans="1:19" ht="14.4">
      <c r="A17" s="2948" t="s">
        <v>1581</v>
      </c>
      <c r="B17" s="3116" t="s">
        <v>1582</v>
      </c>
      <c r="C17" s="2947" t="s">
        <v>1583</v>
      </c>
      <c r="D17" s="3117" t="s">
        <v>1571</v>
      </c>
      <c r="E17" s="3118" t="s">
        <v>1572</v>
      </c>
      <c r="F17" s="3119"/>
      <c r="G17" s="3120"/>
      <c r="H17" s="3121" t="s">
        <v>1584</v>
      </c>
      <c r="I17" s="3122" t="s">
        <v>1569</v>
      </c>
      <c r="J17" s="3088"/>
      <c r="K17" s="3692" t="s">
        <v>1585</v>
      </c>
      <c r="L17" s="3693"/>
      <c r="M17" s="3694"/>
      <c r="N17" s="3692" t="s">
        <v>1586</v>
      </c>
      <c r="O17" s="3693"/>
      <c r="P17" s="3694"/>
      <c r="R17" s="3123" t="s">
        <v>1587</v>
      </c>
      <c r="S17" s="3124"/>
    </row>
    <row r="18" spans="1:19" ht="14.4">
      <c r="A18" s="3110"/>
      <c r="B18" s="3125"/>
      <c r="C18" s="3126"/>
      <c r="D18" s="3127"/>
      <c r="E18" s="3128" t="s">
        <v>1588</v>
      </c>
      <c r="F18" s="3129" t="s">
        <v>1589</v>
      </c>
      <c r="G18" s="3130" t="s">
        <v>1590</v>
      </c>
      <c r="H18" s="2983" t="s">
        <v>1591</v>
      </c>
      <c r="I18" s="3008" t="s">
        <v>1592</v>
      </c>
      <c r="J18" s="3088"/>
      <c r="K18" s="2983" t="s">
        <v>1593</v>
      </c>
      <c r="L18" s="3131" t="s">
        <v>1594</v>
      </c>
      <c r="M18" s="3008" t="s">
        <v>1595</v>
      </c>
      <c r="N18" s="2983" t="s">
        <v>1593</v>
      </c>
      <c r="O18" s="3131" t="s">
        <v>1594</v>
      </c>
      <c r="P18" s="3008" t="s">
        <v>1595</v>
      </c>
      <c r="R18" s="3097" t="s">
        <v>1596</v>
      </c>
      <c r="S18" s="3097" t="s">
        <v>1597</v>
      </c>
    </row>
    <row r="19" spans="1:19" ht="14.4">
      <c r="A19" s="3132"/>
      <c r="B19" s="3108" t="s">
        <v>1570</v>
      </c>
      <c r="C19" s="3133" t="s">
        <v>3185</v>
      </c>
      <c r="D19" s="3004">
        <f>ROUND($D$3*E19/$E$3,2)</f>
        <v>31315.97</v>
      </c>
      <c r="E19" s="3004">
        <f t="shared" ref="E19:E26" si="1">SUM(F19:G19)</f>
        <v>73162.550000000017</v>
      </c>
      <c r="F19" s="3134">
        <f>'数据-基础表'!I13+'数据-基础表'!I14</f>
        <v>73162.550000000017</v>
      </c>
      <c r="G19" s="3135"/>
      <c r="H19" s="3003">
        <f>ROUND($D$3*I19/$E$3,2)</f>
        <v>0</v>
      </c>
      <c r="I19" s="3006">
        <f t="shared" ref="I19:I26" si="2">IF($I$17="自定义",P19,M19)</f>
        <v>0</v>
      </c>
      <c r="J19" s="3088"/>
      <c r="K19" s="3136">
        <f t="shared" ref="K19:K26" si="3">ROUND(E$28*E19/E$27,2)</f>
        <v>0</v>
      </c>
      <c r="L19" s="3097">
        <f t="shared" ref="L19:L26" si="4">ROUND(IF(COUNTIF(C19,"*住宅*")&gt;0,E$29*E19/E$32,0),2)</f>
        <v>0</v>
      </c>
      <c r="M19" s="3137">
        <f>K19+L19</f>
        <v>0</v>
      </c>
      <c r="N19" s="3138"/>
      <c r="O19" s="3139"/>
      <c r="P19" s="3137">
        <f>N19+O19</f>
        <v>0</v>
      </c>
      <c r="R19" s="3097">
        <f t="shared" ref="R19:S26" si="5">D19+H19</f>
        <v>31315.97</v>
      </c>
      <c r="S19" s="3097">
        <f t="shared" si="5"/>
        <v>73162.550000000017</v>
      </c>
    </row>
    <row r="20" spans="1:19" ht="14.4">
      <c r="A20" s="3140"/>
      <c r="B20" s="3108" t="s">
        <v>1598</v>
      </c>
      <c r="C20" s="3133" t="s">
        <v>3186</v>
      </c>
      <c r="D20" s="3004">
        <f t="shared" ref="D20:D26" si="6">ROUND($D$3*E20/$E$3,2)</f>
        <v>13455.71</v>
      </c>
      <c r="E20" s="3004">
        <f t="shared" si="1"/>
        <v>31436.179999999993</v>
      </c>
      <c r="F20" s="3134"/>
      <c r="G20" s="3135">
        <f>'数据-基础表'!M13</f>
        <v>31436.179999999993</v>
      </c>
      <c r="H20" s="3003">
        <f t="shared" ref="H20:H26" si="7">ROUND($D$3*I20/$E$3,2)</f>
        <v>0</v>
      </c>
      <c r="I20" s="3006">
        <f t="shared" si="2"/>
        <v>0</v>
      </c>
      <c r="J20" s="3088"/>
      <c r="K20" s="3136">
        <f t="shared" si="3"/>
        <v>0</v>
      </c>
      <c r="L20" s="3097">
        <f t="shared" si="4"/>
        <v>0</v>
      </c>
      <c r="M20" s="3137">
        <f t="shared" ref="M20:M26" si="8">K20+L20</f>
        <v>0</v>
      </c>
      <c r="N20" s="3138"/>
      <c r="O20" s="3139"/>
      <c r="P20" s="3137">
        <f t="shared" ref="P20:P26" si="9">N20+O20</f>
        <v>0</v>
      </c>
      <c r="R20" s="3097">
        <f t="shared" si="5"/>
        <v>13455.71</v>
      </c>
      <c r="S20" s="3097">
        <f t="shared" si="5"/>
        <v>31436.179999999993</v>
      </c>
    </row>
    <row r="21" spans="1:19" ht="14.4">
      <c r="A21" s="3140"/>
      <c r="B21" s="3108" t="s">
        <v>1598</v>
      </c>
      <c r="C21" s="3133" t="s">
        <v>3187</v>
      </c>
      <c r="D21" s="3004">
        <f t="shared" si="6"/>
        <v>7347.96</v>
      </c>
      <c r="E21" s="3004">
        <f t="shared" si="1"/>
        <v>17166.82</v>
      </c>
      <c r="F21" s="3134"/>
      <c r="G21" s="3135">
        <f>'数据-基础表'!K13</f>
        <v>17166.82</v>
      </c>
      <c r="H21" s="3003">
        <f t="shared" si="7"/>
        <v>0</v>
      </c>
      <c r="I21" s="3006">
        <f t="shared" si="2"/>
        <v>0</v>
      </c>
      <c r="J21" s="3088"/>
      <c r="K21" s="3136">
        <f t="shared" si="3"/>
        <v>0</v>
      </c>
      <c r="L21" s="3097">
        <f t="shared" si="4"/>
        <v>0</v>
      </c>
      <c r="M21" s="3137">
        <f t="shared" si="8"/>
        <v>0</v>
      </c>
      <c r="N21" s="3138"/>
      <c r="O21" s="3139"/>
      <c r="P21" s="3137">
        <f t="shared" si="9"/>
        <v>0</v>
      </c>
      <c r="R21" s="3097">
        <f t="shared" si="5"/>
        <v>7347.96</v>
      </c>
      <c r="S21" s="3097">
        <f t="shared" si="5"/>
        <v>17166.82</v>
      </c>
    </row>
    <row r="22" spans="1:19" ht="14.4">
      <c r="A22" s="3140"/>
      <c r="B22" s="3108" t="s">
        <v>1598</v>
      </c>
      <c r="C22" s="4013" t="s">
        <v>3588</v>
      </c>
      <c r="D22" s="3004">
        <f t="shared" si="6"/>
        <v>101.54</v>
      </c>
      <c r="E22" s="3004">
        <f t="shared" si="1"/>
        <v>237.22</v>
      </c>
      <c r="F22" s="3142">
        <f>'数据-基础表'!O14</f>
        <v>237.22</v>
      </c>
      <c r="G22" s="3143"/>
      <c r="H22" s="3003">
        <f t="shared" si="7"/>
        <v>0</v>
      </c>
      <c r="I22" s="3006">
        <f t="shared" si="2"/>
        <v>0</v>
      </c>
      <c r="J22" s="3088"/>
      <c r="K22" s="3136">
        <f t="shared" si="3"/>
        <v>0</v>
      </c>
      <c r="L22" s="3097">
        <f t="shared" si="4"/>
        <v>0</v>
      </c>
      <c r="M22" s="3137">
        <f t="shared" si="8"/>
        <v>0</v>
      </c>
      <c r="N22" s="3138"/>
      <c r="O22" s="3139"/>
      <c r="P22" s="3137">
        <f t="shared" si="9"/>
        <v>0</v>
      </c>
      <c r="R22" s="3097">
        <f t="shared" si="5"/>
        <v>101.54</v>
      </c>
      <c r="S22" s="3097">
        <f t="shared" si="5"/>
        <v>237.22</v>
      </c>
    </row>
    <row r="23" spans="1:19" ht="14.4">
      <c r="A23" s="3140"/>
      <c r="B23" s="3108" t="s">
        <v>1598</v>
      </c>
      <c r="C23" s="3141"/>
      <c r="D23" s="3004">
        <f>ROUND($D$3*E23/$E$3,2)</f>
        <v>0</v>
      </c>
      <c r="E23" s="3004">
        <f>SUM(F23:G23)</f>
        <v>0</v>
      </c>
      <c r="F23" s="3142"/>
      <c r="G23" s="3143"/>
      <c r="H23" s="3003">
        <f>ROUND($D$3*I23/$E$3,2)</f>
        <v>0</v>
      </c>
      <c r="I23" s="3006">
        <f t="shared" si="2"/>
        <v>0</v>
      </c>
      <c r="J23" s="3088"/>
      <c r="K23" s="3136">
        <f t="shared" si="3"/>
        <v>0</v>
      </c>
      <c r="L23" s="3097">
        <f t="shared" si="4"/>
        <v>0</v>
      </c>
      <c r="M23" s="3137">
        <f t="shared" si="8"/>
        <v>0</v>
      </c>
      <c r="N23" s="3138"/>
      <c r="O23" s="3139"/>
      <c r="P23" s="3137">
        <f t="shared" si="9"/>
        <v>0</v>
      </c>
      <c r="R23" s="3097">
        <f t="shared" si="5"/>
        <v>0</v>
      </c>
      <c r="S23" s="3097">
        <f t="shared" si="5"/>
        <v>0</v>
      </c>
    </row>
    <row r="24" spans="1:19" ht="14.4">
      <c r="A24" s="3140"/>
      <c r="B24" s="3108" t="s">
        <v>1598</v>
      </c>
      <c r="C24" s="3141"/>
      <c r="D24" s="3004">
        <f>ROUND($D$3*E24/$E$3,2)</f>
        <v>0</v>
      </c>
      <c r="E24" s="3004">
        <f>SUM(F24:G24)</f>
        <v>0</v>
      </c>
      <c r="F24" s="3142"/>
      <c r="G24" s="3143"/>
      <c r="H24" s="3003">
        <f>ROUND($D$3*I24/$E$3,2)</f>
        <v>0</v>
      </c>
      <c r="I24" s="3006">
        <f t="shared" si="2"/>
        <v>0</v>
      </c>
      <c r="J24" s="3088"/>
      <c r="K24" s="3136">
        <f t="shared" si="3"/>
        <v>0</v>
      </c>
      <c r="L24" s="3097">
        <f t="shared" si="4"/>
        <v>0</v>
      </c>
      <c r="M24" s="3137">
        <f t="shared" si="8"/>
        <v>0</v>
      </c>
      <c r="N24" s="3138"/>
      <c r="O24" s="3139"/>
      <c r="P24" s="3137">
        <f t="shared" si="9"/>
        <v>0</v>
      </c>
      <c r="R24" s="3097">
        <f t="shared" si="5"/>
        <v>0</v>
      </c>
      <c r="S24" s="3097">
        <f t="shared" si="5"/>
        <v>0</v>
      </c>
    </row>
    <row r="25" spans="1:19" ht="14.4">
      <c r="A25" s="3140"/>
      <c r="B25" s="3108" t="s">
        <v>1598</v>
      </c>
      <c r="C25" s="3141"/>
      <c r="D25" s="3004">
        <f t="shared" si="6"/>
        <v>0</v>
      </c>
      <c r="E25" s="3004">
        <f t="shared" si="1"/>
        <v>0</v>
      </c>
      <c r="F25" s="3142"/>
      <c r="G25" s="3143"/>
      <c r="H25" s="3101">
        <f t="shared" si="7"/>
        <v>0</v>
      </c>
      <c r="I25" s="3006">
        <f t="shared" si="2"/>
        <v>0</v>
      </c>
      <c r="J25" s="3088"/>
      <c r="K25" s="3136">
        <f t="shared" si="3"/>
        <v>0</v>
      </c>
      <c r="L25" s="3097">
        <f t="shared" si="4"/>
        <v>0</v>
      </c>
      <c r="M25" s="3137">
        <f t="shared" si="8"/>
        <v>0</v>
      </c>
      <c r="N25" s="3138"/>
      <c r="O25" s="3139"/>
      <c r="P25" s="3137">
        <f t="shared" si="9"/>
        <v>0</v>
      </c>
      <c r="R25" s="3097">
        <f t="shared" si="5"/>
        <v>0</v>
      </c>
      <c r="S25" s="3097">
        <f t="shared" si="5"/>
        <v>0</v>
      </c>
    </row>
    <row r="26" spans="1:19" ht="14.4">
      <c r="A26" s="3140"/>
      <c r="B26" s="3108" t="s">
        <v>1598</v>
      </c>
      <c r="C26" s="3144"/>
      <c r="D26" s="3004">
        <f t="shared" si="6"/>
        <v>0</v>
      </c>
      <c r="E26" s="3004">
        <f t="shared" si="1"/>
        <v>0</v>
      </c>
      <c r="F26" s="3142"/>
      <c r="G26" s="3143"/>
      <c r="H26" s="3101">
        <f t="shared" si="7"/>
        <v>0</v>
      </c>
      <c r="I26" s="3006">
        <f t="shared" si="2"/>
        <v>0</v>
      </c>
      <c r="J26" s="3088"/>
      <c r="K26" s="3096">
        <f t="shared" si="3"/>
        <v>0</v>
      </c>
      <c r="L26" s="3104">
        <f t="shared" si="4"/>
        <v>0</v>
      </c>
      <c r="M26" s="3145">
        <f t="shared" si="8"/>
        <v>0</v>
      </c>
      <c r="N26" s="3146"/>
      <c r="O26" s="3147"/>
      <c r="P26" s="3145">
        <f t="shared" si="9"/>
        <v>0</v>
      </c>
      <c r="R26" s="3097">
        <f t="shared" si="5"/>
        <v>0</v>
      </c>
      <c r="S26" s="3097">
        <f t="shared" si="5"/>
        <v>0</v>
      </c>
    </row>
    <row r="27" spans="1:19" ht="15" thickBot="1">
      <c r="A27" s="3140"/>
      <c r="B27" s="3004"/>
      <c r="C27" s="3148" t="s">
        <v>1599</v>
      </c>
      <c r="D27" s="3149">
        <f>SUM(D19:D26)</f>
        <v>52221.18</v>
      </c>
      <c r="E27" s="2447">
        <f>IF(SUM(E19:E26)='数据-基础表'!BA5,SUM(E19:E26),IF(F27="地上面积有误","面积有误","地下面积有误"))</f>
        <v>122002.77000000002</v>
      </c>
      <c r="F27" s="3149">
        <f>IF(SUM(F19:F26)=E8,SUM(F19:F26),"地上面积有误")</f>
        <v>73399.770000000019</v>
      </c>
      <c r="G27" s="3150">
        <f>SUM(G19:G26)</f>
        <v>48602.999999999993</v>
      </c>
      <c r="H27" s="3151">
        <f>SUM(H19:H26)</f>
        <v>0</v>
      </c>
      <c r="I27" s="3152">
        <f>SUM(I19:I26)</f>
        <v>0</v>
      </c>
      <c r="J27" s="3088"/>
      <c r="K27" s="3153">
        <f>SUM(K19:K26)</f>
        <v>0</v>
      </c>
      <c r="L27" s="3154">
        <f>SUM(L19:L26)</f>
        <v>0</v>
      </c>
      <c r="M27" s="3155">
        <f>SUM(M19:M26)</f>
        <v>0</v>
      </c>
      <c r="N27" s="3153">
        <f t="shared" ref="N27:O27" si="10">SUM(N19:N26)</f>
        <v>0</v>
      </c>
      <c r="O27" s="3154">
        <f t="shared" si="10"/>
        <v>0</v>
      </c>
      <c r="P27" s="3156">
        <f>SUM(P19:P26)</f>
        <v>0</v>
      </c>
      <c r="R27" s="2964">
        <f>IF(SUM(R19:R26)=$D$3,SUM(R19:R26),SUM(R19:R26)&amp;"误差"&amp;ROUND(SUM(R19:R26)-$D$3,2))</f>
        <v>52221.18</v>
      </c>
      <c r="S27" s="3097">
        <f>IF(SUM(S19:S26)=$E$3,SUM(S19:S26),SUM(S19:S26)&amp;"误差"&amp;ROUND(SUM(S19:S26)-E3,2))</f>
        <v>122002.77000000002</v>
      </c>
    </row>
    <row r="28" spans="1:19" ht="14.4">
      <c r="A28" s="3140"/>
      <c r="B28" s="3108" t="s">
        <v>1600</v>
      </c>
      <c r="C28" s="3007" t="s">
        <v>1601</v>
      </c>
      <c r="D28" s="3004">
        <f>ROUND($D$3*E28/$E$3,2)</f>
        <v>0</v>
      </c>
      <c r="E28" s="3004">
        <f>SUM(F28:G28)</f>
        <v>0</v>
      </c>
      <c r="F28" s="3124">
        <f>'数据-基础表'!BQ5+'数据-基础表'!BS5</f>
        <v>0</v>
      </c>
      <c r="G28" s="3157">
        <f>'数据-基础表'!BR5+'数据-基础表'!BT5</f>
        <v>0</v>
      </c>
      <c r="H28" s="3091"/>
      <c r="I28" s="3091"/>
      <c r="J28" s="3091"/>
      <c r="K28" s="3091"/>
      <c r="L28" s="3091"/>
      <c r="M28" s="3091"/>
      <c r="N28" s="3091"/>
      <c r="O28" s="3091"/>
      <c r="P28" s="3091"/>
    </row>
    <row r="29" spans="1:19" ht="14.4">
      <c r="A29" s="3140"/>
      <c r="B29" s="3108" t="s">
        <v>1600</v>
      </c>
      <c r="C29" s="3158" t="s">
        <v>1602</v>
      </c>
      <c r="D29" s="3004">
        <f>ROUND($D$3*E29/$E$3,2)</f>
        <v>0</v>
      </c>
      <c r="E29" s="3004">
        <f>SUM(F29:G29)</f>
        <v>0</v>
      </c>
      <c r="F29" s="3159">
        <f>'数据-基础表'!BM5+'数据-基础表'!BO5</f>
        <v>0</v>
      </c>
      <c r="G29" s="3145">
        <f>'数据-基础表'!BN5+'数据-基础表'!BP5</f>
        <v>0</v>
      </c>
      <c r="H29" s="3091"/>
      <c r="I29" s="3091"/>
      <c r="J29" s="3091"/>
      <c r="K29" s="3091"/>
      <c r="L29" s="3091"/>
      <c r="M29" s="3091"/>
      <c r="N29" s="3091"/>
      <c r="O29" s="3091"/>
      <c r="P29" s="3091"/>
    </row>
    <row r="30" spans="1:19" ht="14.4">
      <c r="A30" s="3140"/>
      <c r="B30" s="3108"/>
      <c r="C30" s="3160" t="s">
        <v>1599</v>
      </c>
      <c r="D30" s="3149">
        <f>SUM(D28:D29)</f>
        <v>0</v>
      </c>
      <c r="E30" s="3149">
        <f>SUM(E28:E29)</f>
        <v>0</v>
      </c>
      <c r="F30" s="3149">
        <f>SUM(F28:F29)</f>
        <v>0</v>
      </c>
      <c r="G30" s="3150">
        <f>SUM(G28:G29)</f>
        <v>0</v>
      </c>
      <c r="H30" s="3091"/>
      <c r="I30" s="3091"/>
      <c r="J30" s="3091"/>
      <c r="K30" s="3091"/>
      <c r="L30" s="3091"/>
      <c r="M30" s="3091"/>
      <c r="N30" s="3091"/>
      <c r="O30" s="3091"/>
      <c r="P30" s="3091"/>
    </row>
    <row r="31" spans="1:19" ht="15" thickBot="1">
      <c r="A31" s="3161"/>
      <c r="B31" s="3162"/>
      <c r="C31" s="2469" t="s">
        <v>1603</v>
      </c>
      <c r="D31" s="3163">
        <f>D27+D30</f>
        <v>52221.18</v>
      </c>
      <c r="E31" s="3163">
        <f>E27+E30</f>
        <v>122002.77000000002</v>
      </c>
      <c r="F31" s="2469">
        <f>F27+F30</f>
        <v>73399.770000000019</v>
      </c>
      <c r="G31" s="3164">
        <f>G27+G30</f>
        <v>48602.999999999993</v>
      </c>
      <c r="H31" s="3091"/>
      <c r="I31" s="3091"/>
      <c r="J31" s="3091"/>
      <c r="K31" s="3091"/>
      <c r="L31" s="3091"/>
      <c r="M31" s="3091"/>
      <c r="N31" s="3091"/>
      <c r="O31" s="3091"/>
      <c r="P31" s="3091"/>
    </row>
    <row r="32" spans="1:19" ht="14.4">
      <c r="A32" s="3165"/>
      <c r="B32" s="3165" t="s">
        <v>1604</v>
      </c>
      <c r="C32" s="3165"/>
      <c r="D32" s="3165"/>
      <c r="E32" s="3165">
        <f>SUMIF(C19:C26,"*住宅*",E19:E26)</f>
        <v>73162.550000000017</v>
      </c>
      <c r="F32" s="3165"/>
      <c r="G32" s="3165"/>
      <c r="H32" s="3091"/>
      <c r="I32" s="3091"/>
      <c r="J32" s="3091"/>
      <c r="K32" s="3091"/>
      <c r="L32" s="3091"/>
      <c r="M32" s="3091"/>
      <c r="N32" s="3091"/>
      <c r="O32" s="3091"/>
      <c r="P32" s="30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3084" customWidth="1"/>
    <col min="2" max="2" width="12" style="2931" customWidth="1"/>
    <col min="3" max="3" width="12.77734375" style="2931" customWidth="1"/>
    <col min="4" max="4" width="9.109375" style="2931" customWidth="1"/>
    <col min="5" max="5" width="15" style="2931" bestFit="1" customWidth="1"/>
    <col min="6" max="10" width="8.88671875" style="2931" customWidth="1"/>
    <col min="11" max="12" width="12.33203125" style="3085" customWidth="1"/>
    <col min="13" max="13" width="8.6640625" style="2931" customWidth="1"/>
    <col min="14" max="14" width="11.88671875" style="2931" customWidth="1"/>
    <col min="15" max="15" width="8.44140625" style="2931" customWidth="1"/>
    <col min="16" max="17" width="10.88671875" style="2931" customWidth="1"/>
    <col min="18" max="19" width="12.44140625" style="2931" customWidth="1"/>
    <col min="20" max="20" width="12.109375" style="2931" customWidth="1"/>
    <col min="21" max="21" width="7.44140625" style="2931" customWidth="1"/>
    <col min="22" max="22" width="6.33203125" style="2931" customWidth="1"/>
    <col min="23" max="30" width="6.77734375" style="2931" customWidth="1"/>
    <col min="31" max="31" width="8" style="2931" customWidth="1"/>
    <col min="32" max="34" width="7.21875" style="2931" customWidth="1"/>
    <col min="35" max="39" width="8" style="2931" customWidth="1"/>
    <col min="40" max="40" width="13.77734375" style="2930"/>
    <col min="41" max="41" width="11.6640625" style="2930" customWidth="1"/>
    <col min="42" max="42" width="9.77734375" style="2930" customWidth="1"/>
    <col min="43" max="67" width="13.77734375" style="2930"/>
    <col min="68" max="16384" width="13.77734375" style="2931"/>
  </cols>
  <sheetData>
    <row r="1" spans="1:67" ht="18" thickBot="1">
      <c r="A1" s="2926" t="s">
        <v>1605</v>
      </c>
      <c r="B1" s="2927"/>
      <c r="C1" s="2431"/>
      <c r="D1" s="2431"/>
      <c r="E1" s="2431"/>
      <c r="F1" s="2431"/>
      <c r="G1" s="2431"/>
      <c r="H1" s="2431"/>
      <c r="I1" s="2431"/>
      <c r="J1" s="2431"/>
      <c r="K1" s="2928"/>
      <c r="L1" s="2928"/>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c r="AN1" s="2929"/>
      <c r="AO1" s="2929"/>
      <c r="AP1" s="2929"/>
      <c r="AQ1" s="2929"/>
      <c r="AR1" s="2929"/>
    </row>
    <row r="2" spans="1:67" s="2937" customFormat="1" ht="15" thickBot="1">
      <c r="A2" s="2932" t="s">
        <v>1606</v>
      </c>
      <c r="B2" s="4012">
        <f>项目基本情况!D3</f>
        <v>44775</v>
      </c>
      <c r="C2" s="2933"/>
      <c r="D2" s="2933"/>
      <c r="E2" s="2933"/>
      <c r="F2" s="2933"/>
      <c r="G2" s="2933"/>
      <c r="H2" s="2933"/>
      <c r="I2" s="2933"/>
      <c r="J2" s="2933"/>
      <c r="K2" s="2934"/>
      <c r="L2" s="2934"/>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5"/>
      <c r="AO2" s="2935"/>
      <c r="AP2" s="2935"/>
      <c r="AQ2" s="2935"/>
      <c r="AR2" s="2935"/>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row>
    <row r="3" spans="1:67" s="2937" customFormat="1" ht="14.4" thickBot="1">
      <c r="A3" s="2938"/>
      <c r="B3" s="2939"/>
      <c r="C3" s="2933"/>
      <c r="D3" s="2933"/>
      <c r="E3" s="2933"/>
      <c r="F3" s="2933"/>
      <c r="G3" s="2933"/>
      <c r="H3" s="2933"/>
      <c r="I3" s="2933"/>
      <c r="J3" s="2933"/>
      <c r="K3" s="2934"/>
      <c r="L3" s="2934"/>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35"/>
      <c r="AO3" s="2935"/>
      <c r="AP3" s="2935"/>
      <c r="AQ3" s="2935"/>
      <c r="AR3" s="2935"/>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row>
    <row r="4" spans="1:67" s="2937" customFormat="1" ht="15" thickBot="1">
      <c r="A4" s="2940" t="s">
        <v>1607</v>
      </c>
      <c r="B4" s="2941"/>
      <c r="C4" s="2942"/>
      <c r="D4" s="2942"/>
      <c r="E4" s="2942" t="s">
        <v>1608</v>
      </c>
      <c r="F4" s="2942"/>
      <c r="G4" s="2942"/>
      <c r="H4" s="2942"/>
      <c r="I4" s="2942"/>
      <c r="J4" s="2943"/>
      <c r="K4" s="2944"/>
      <c r="L4" s="2945"/>
      <c r="M4" s="2942"/>
      <c r="N4" s="2942" t="s">
        <v>1609</v>
      </c>
      <c r="O4" s="2942"/>
      <c r="P4" s="2942"/>
      <c r="Q4" s="2942"/>
      <c r="R4" s="2942"/>
      <c r="S4" s="2943"/>
      <c r="T4" s="2946" t="str">
        <f>'数据-汇总表'!I17</f>
        <v>按面积比例</v>
      </c>
      <c r="U4" s="2941" t="s">
        <v>1610</v>
      </c>
      <c r="V4" s="2942"/>
      <c r="W4" s="2942"/>
      <c r="X4" s="2942"/>
      <c r="Y4" s="2943"/>
      <c r="Z4" s="2947" t="s">
        <v>1611</v>
      </c>
      <c r="AA4" s="2947"/>
      <c r="AB4" s="2947"/>
      <c r="AC4" s="2947"/>
      <c r="AD4" s="2947"/>
      <c r="AE4" s="2948" t="s">
        <v>1612</v>
      </c>
      <c r="AF4" s="2947"/>
      <c r="AG4" s="2949"/>
      <c r="AH4" s="2941"/>
      <c r="AI4" s="2942"/>
      <c r="AJ4" s="2942"/>
      <c r="AK4" s="2942"/>
      <c r="AL4" s="2942"/>
      <c r="AM4" s="2943"/>
      <c r="AN4" s="2935"/>
      <c r="AO4" s="2935"/>
      <c r="AP4" s="2935"/>
      <c r="AQ4" s="2935"/>
      <c r="AR4" s="2935"/>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row>
    <row r="5" spans="1:67" s="2967" customFormat="1" ht="57.6">
      <c r="A5" s="2950" t="s">
        <v>1613</v>
      </c>
      <c r="B5" s="2951" t="s">
        <v>1614</v>
      </c>
      <c r="C5" s="2952" t="s">
        <v>1615</v>
      </c>
      <c r="D5" s="2953" t="s">
        <v>1616</v>
      </c>
      <c r="E5" s="2673" t="s">
        <v>1617</v>
      </c>
      <c r="F5" s="2673" t="s">
        <v>1618</v>
      </c>
      <c r="G5" s="2673" t="s">
        <v>1619</v>
      </c>
      <c r="H5" s="2673" t="s">
        <v>1620</v>
      </c>
      <c r="I5" s="2673" t="s">
        <v>1621</v>
      </c>
      <c r="J5" s="2954" t="s">
        <v>1622</v>
      </c>
      <c r="K5" s="2955" t="s">
        <v>1623</v>
      </c>
      <c r="L5" s="2956" t="s">
        <v>1624</v>
      </c>
      <c r="M5" s="2956" t="s">
        <v>1625</v>
      </c>
      <c r="N5" s="2957" t="s">
        <v>1626</v>
      </c>
      <c r="O5" s="2956" t="s">
        <v>1627</v>
      </c>
      <c r="P5" s="2958" t="s">
        <v>1628</v>
      </c>
      <c r="Q5" s="2768" t="s">
        <v>1629</v>
      </c>
      <c r="R5" s="2955" t="s">
        <v>1630</v>
      </c>
      <c r="S5" s="2959" t="s">
        <v>1631</v>
      </c>
      <c r="T5" s="2960" t="s">
        <v>1632</v>
      </c>
      <c r="U5" s="2961" t="s">
        <v>1633</v>
      </c>
      <c r="V5" s="2673" t="s">
        <v>1634</v>
      </c>
      <c r="W5" s="2673" t="s">
        <v>1635</v>
      </c>
      <c r="X5" s="2748"/>
      <c r="Y5" s="2540" t="s">
        <v>1636</v>
      </c>
      <c r="Z5" s="2648" t="s">
        <v>1633</v>
      </c>
      <c r="AA5" s="2673" t="s">
        <v>1634</v>
      </c>
      <c r="AB5" s="2673" t="s">
        <v>1635</v>
      </c>
      <c r="AC5" s="2748"/>
      <c r="AD5" s="2748" t="s">
        <v>1636</v>
      </c>
      <c r="AE5" s="2961" t="s">
        <v>1637</v>
      </c>
      <c r="AF5" s="2673" t="s">
        <v>1638</v>
      </c>
      <c r="AG5" s="2540" t="s">
        <v>1639</v>
      </c>
      <c r="AH5" s="2961" t="s">
        <v>1640</v>
      </c>
      <c r="AI5" s="2648" t="s">
        <v>1641</v>
      </c>
      <c r="AJ5" s="2648" t="s">
        <v>1642</v>
      </c>
      <c r="AK5" s="2673" t="s">
        <v>1643</v>
      </c>
      <c r="AL5" s="2673" t="s">
        <v>1644</v>
      </c>
      <c r="AM5" s="2540" t="s">
        <v>1645</v>
      </c>
      <c r="AN5" s="2962" t="s">
        <v>1646</v>
      </c>
      <c r="AO5" s="2963" t="s">
        <v>1647</v>
      </c>
      <c r="AP5" s="2964" t="s">
        <v>1648</v>
      </c>
      <c r="AQ5" s="2965" t="s">
        <v>1649</v>
      </c>
      <c r="AR5" s="2965" t="s">
        <v>1650</v>
      </c>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row>
    <row r="6" spans="1:67" s="2937" customFormat="1" ht="13.8">
      <c r="A6" s="2968" t="str">
        <f>'数据-汇总表'!C19</f>
        <v>住宅</v>
      </c>
      <c r="B6" s="2969" t="str">
        <f>IF(A6=0,"","经营性")</f>
        <v>经营性</v>
      </c>
      <c r="C6" s="2970" t="s">
        <v>3179</v>
      </c>
      <c r="D6" s="2971">
        <f>SUMIF(项目基本情况!D$12:I$12,C6,项目基本情况!D$14:I$14)</f>
        <v>70</v>
      </c>
      <c r="E6" s="4011">
        <f>IF(B6="","",SUMIF(项目基本情况!D$12:I$12,C6,项目基本情况!D$13:I$13))</f>
        <v>69899</v>
      </c>
      <c r="F6" s="2972">
        <f>SUMIF(项目基本情况!D$12:I$12,C6,项目基本情况!D$15:I$15)</f>
        <v>68.83</v>
      </c>
      <c r="G6" s="2972">
        <f>IF(ISERROR(ROUND(POWER(1+H6,D6-F6)*(POWER(1+H6,F6)-1)/(POWER(1+H6,D6)-1),3)),0,ROUND(POWER(1+H6,D6-F6)*(POWER(1+H6,F6)-1)/(POWER(1+H6,D6)-1),3))</f>
        <v>0.997</v>
      </c>
      <c r="H6" s="3571">
        <v>0.04</v>
      </c>
      <c r="I6" s="3571">
        <v>4.4999999999999998E-2</v>
      </c>
      <c r="J6" s="3572">
        <v>8.5000000000000006E-2</v>
      </c>
      <c r="K6" s="2971">
        <f>SUMIF('数据-汇总表'!C$19:C$33,A6,'数据-汇总表'!E$19:E$33)</f>
        <v>73162.550000000017</v>
      </c>
      <c r="L6" s="2974">
        <v>4090</v>
      </c>
      <c r="M6" s="2975">
        <f t="shared" ref="M6:M14" si="0">ROUND(K6*L6/10000,0)</f>
        <v>29923</v>
      </c>
      <c r="N6" s="3566">
        <v>0.47</v>
      </c>
      <c r="O6" s="2975">
        <f>IF($N$5="成新度","——",ROUND(M6*N6,0))</f>
        <v>14064</v>
      </c>
      <c r="P6" s="2741">
        <f>IF($N$5="成新度","——",M6-O6)</f>
        <v>15859</v>
      </c>
      <c r="Q6" s="3564">
        <v>0.12</v>
      </c>
      <c r="R6" s="2976">
        <f ca="1">SUMIF('数据-汇总表'!C$19:C$33,A6,'数据-汇总表'!R$19:R$27)</f>
        <v>31315.97</v>
      </c>
      <c r="S6" s="2745">
        <f>IF('数据-汇总表'!$I$17="按面积比例",SUMIF('数据-汇总表'!C$19:C$33,A6,'数据-汇总表'!K$19:K$33),SUMIF('数据-汇总表'!C$19:C$33,A6,'数据-汇总表'!N$19:N$33))</f>
        <v>0</v>
      </c>
      <c r="T6" s="2977">
        <f>ROUND($L$14*S6/10000,0)</f>
        <v>0</v>
      </c>
      <c r="U6" s="2978"/>
      <c r="V6" s="2979"/>
      <c r="W6" s="2979"/>
      <c r="X6" s="2741"/>
      <c r="Y6" s="2980"/>
      <c r="Z6" s="2981"/>
      <c r="AA6" s="2973"/>
      <c r="AB6" s="2973"/>
      <c r="AC6" s="2741"/>
      <c r="AD6" s="2982"/>
      <c r="AE6" s="2983">
        <f ca="1">IF(AN6="",0,SUMIF(INDIRECT("'"&amp;AN6&amp;"'"&amp;"!E:E"),$AE$5,INDIRECT("'"&amp;AN6&amp;"'"&amp;"!F:F")))</f>
        <v>0</v>
      </c>
      <c r="AF6" s="2984"/>
      <c r="AG6" s="2898">
        <f>IF(AF6="",0,AE6-AF6)</f>
        <v>0</v>
      </c>
      <c r="AH6" s="2985"/>
      <c r="AI6" s="2986"/>
      <c r="AJ6" s="2984"/>
      <c r="AK6" s="2984"/>
      <c r="AL6" s="2984"/>
      <c r="AM6" s="2987"/>
      <c r="AN6" s="2988"/>
      <c r="AO6" s="2745" t="e">
        <f ca="1">SUMIF(INDIRECT("'"&amp;AN6&amp;"'"&amp;"!A:A"),"总价",INDIRECT("'"&amp;AN6&amp;"'"&amp;"!B:B"))</f>
        <v>#REF!</v>
      </c>
      <c r="AP6" s="2989">
        <f>IF(C6="住宅",K6*L6,0)</f>
        <v>299234829.50000006</v>
      </c>
      <c r="AQ6" s="2745">
        <f>ROUND($L$14*$N$14*S6/10000,0)</f>
        <v>0</v>
      </c>
      <c r="AR6" s="2745">
        <f>ROUND($L$14*(1-$N$14)*S6/10000,0)</f>
        <v>0</v>
      </c>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row>
    <row r="7" spans="1:67" s="2937" customFormat="1" ht="13.8">
      <c r="A7" s="2968" t="str">
        <f>'数据-汇总表'!C20</f>
        <v>地下仓储</v>
      </c>
      <c r="B7" s="2969" t="str">
        <f t="shared" ref="B7:B13" si="1">IF(A7=0,"","经营性")</f>
        <v>经营性</v>
      </c>
      <c r="C7" s="2970" t="s">
        <v>3183</v>
      </c>
      <c r="D7" s="2971">
        <f>SUMIF(项目基本情况!D$12:I$12,C7,项目基本情况!D$14:I$14)</f>
        <v>50</v>
      </c>
      <c r="E7" s="4011">
        <f>IF(B7="","",SUMIF(项目基本情况!D$12:I$12,C7,项目基本情况!D$13:I$13))</f>
        <v>62594</v>
      </c>
      <c r="F7" s="2972">
        <f>SUMIF(项目基本情况!D$12:I$12,C7,项目基本情况!D$15:I$15)</f>
        <v>48.81</v>
      </c>
      <c r="G7" s="2972">
        <f t="shared" ref="G7:G11" si="2">IF(ISERROR(ROUND(POWER(1+H7,D7-F7)*(POWER(1+H7,F7)-1)/(POWER(1+H7,D7)-1),3)),0,ROUND(POWER(1+H7,D7-F7)*(POWER(1+H7,F7)-1)/(POWER(1+H7,D7)-1),3))</f>
        <v>0.99299999999999999</v>
      </c>
      <c r="H7" s="3571">
        <v>4.4999999999999998E-2</v>
      </c>
      <c r="I7" s="3571">
        <v>0.05</v>
      </c>
      <c r="J7" s="3572">
        <f>J6</f>
        <v>8.5000000000000006E-2</v>
      </c>
      <c r="K7" s="2971">
        <f>SUMIF('数据-汇总表'!C$19:C$33,A7,'数据-汇总表'!E$19:E$33)</f>
        <v>31436.179999999993</v>
      </c>
      <c r="L7" s="2974">
        <v>3290</v>
      </c>
      <c r="M7" s="2975">
        <f t="shared" si="0"/>
        <v>10343</v>
      </c>
      <c r="N7" s="3566">
        <f>N6</f>
        <v>0.47</v>
      </c>
      <c r="O7" s="2975">
        <f t="shared" ref="O7:O14" si="3">IF($N$5="成新度","——",ROUND(M7*N7,0))</f>
        <v>4861</v>
      </c>
      <c r="P7" s="2741">
        <f t="shared" ref="P7:P14" si="4">IF($N$5="成新度","——",M7-O7)</f>
        <v>5482</v>
      </c>
      <c r="Q7" s="3564">
        <v>0.12</v>
      </c>
      <c r="R7" s="2976">
        <f ca="1">SUMIF('数据-汇总表'!C$19:C$33,A7,'数据-汇总表'!R$19:R$27)</f>
        <v>13455.71</v>
      </c>
      <c r="S7" s="2745">
        <f>IF('数据-汇总表'!$I$17="按面积比例",SUMIF('数据-汇总表'!C$19:C$33,A7,'数据-汇总表'!K$19:K$33),SUMIF('数据-汇总表'!C$19:C$33,A7,'数据-汇总表'!N$19:N$33))</f>
        <v>0</v>
      </c>
      <c r="T7" s="2977">
        <f t="shared" ref="T7:T13" si="5">ROUND($L$14*S7/10000,0)</f>
        <v>0</v>
      </c>
      <c r="U7" s="2978"/>
      <c r="V7" s="2979"/>
      <c r="W7" s="2979"/>
      <c r="X7" s="2741"/>
      <c r="Y7" s="2980"/>
      <c r="Z7" s="2981"/>
      <c r="AA7" s="2973"/>
      <c r="AB7" s="2973"/>
      <c r="AC7" s="2741"/>
      <c r="AD7" s="2982"/>
      <c r="AE7" s="2983">
        <f t="shared" ref="AE7:AE13" ca="1" si="6">IF(AN7="",0,SUMIF(INDIRECT("'"&amp;AN7&amp;"'"&amp;"!E:E"),$AE$5,INDIRECT("'"&amp;AN7&amp;"'"&amp;"!F:F")))</f>
        <v>0</v>
      </c>
      <c r="AF7" s="2984"/>
      <c r="AG7" s="2898">
        <f t="shared" ref="AG7:AG13" si="7">IF(AF7="",0,AE7-AF7)</f>
        <v>0</v>
      </c>
      <c r="AH7" s="2985"/>
      <c r="AI7" s="2986"/>
      <c r="AJ7" s="2984"/>
      <c r="AK7" s="2984"/>
      <c r="AL7" s="2984"/>
      <c r="AM7" s="2987"/>
      <c r="AN7" s="2988"/>
      <c r="AO7" s="2745" t="e">
        <f t="shared" ref="AO7:AO13" ca="1" si="8">SUMIF(INDIRECT("'"&amp;AN7&amp;"'"&amp;"!A:A"),"总价",INDIRECT("'"&amp;AN7&amp;"'"&amp;"!B:B"))</f>
        <v>#REF!</v>
      </c>
      <c r="AP7" s="2989">
        <f t="shared" ref="AP7:AP13" si="9">IF(C7="住宅",K7*L7,0)</f>
        <v>0</v>
      </c>
      <c r="AQ7" s="2745">
        <f t="shared" ref="AQ7:AQ13" si="10">ROUND($L$14*$N$14*S7/10000,0)</f>
        <v>0</v>
      </c>
      <c r="AR7" s="2745">
        <f t="shared" ref="AR7:AR13" si="11">ROUND($L$14*(1-$N$14)*S7/10000,0)</f>
        <v>0</v>
      </c>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row>
    <row r="8" spans="1:67" s="2937" customFormat="1" ht="13.8">
      <c r="A8" s="2968" t="str">
        <f>'数据-汇总表'!C21</f>
        <v>地下车库</v>
      </c>
      <c r="B8" s="2969" t="str">
        <f t="shared" si="1"/>
        <v>经营性</v>
      </c>
      <c r="C8" s="2970" t="s">
        <v>3182</v>
      </c>
      <c r="D8" s="2971">
        <f>SUMIF(项目基本情况!D$12:I$12,C8,项目基本情况!D$14:I$14)</f>
        <v>50</v>
      </c>
      <c r="E8" s="4011">
        <f>IF(B8="","",SUMIF(项目基本情况!D$12:I$12,C8,项目基本情况!D$13:I$13))</f>
        <v>62594</v>
      </c>
      <c r="F8" s="2972">
        <f>SUMIF(项目基本情况!D$12:I$12,C8,项目基本情况!D$15:I$15)</f>
        <v>48.81</v>
      </c>
      <c r="G8" s="2972">
        <f t="shared" si="2"/>
        <v>0.99299999999999999</v>
      </c>
      <c r="H8" s="3571">
        <f>H7</f>
        <v>4.4999999999999998E-2</v>
      </c>
      <c r="I8" s="3571">
        <f>I7</f>
        <v>0.05</v>
      </c>
      <c r="J8" s="3572">
        <f>J6</f>
        <v>8.5000000000000006E-2</v>
      </c>
      <c r="K8" s="2971">
        <f>SUMIF('数据-汇总表'!C$19:C$33,A8,'数据-汇总表'!E$19:E$33)</f>
        <v>17166.82</v>
      </c>
      <c r="L8" s="2974">
        <f>L7</f>
        <v>3290</v>
      </c>
      <c r="M8" s="2975">
        <f>ROUND(K8*L8/10000,0)</f>
        <v>5648</v>
      </c>
      <c r="N8" s="3566">
        <f>N7</f>
        <v>0.47</v>
      </c>
      <c r="O8" s="2975">
        <f t="shared" si="3"/>
        <v>2655</v>
      </c>
      <c r="P8" s="2741">
        <f t="shared" si="4"/>
        <v>2993</v>
      </c>
      <c r="Q8" s="3564">
        <v>0.05</v>
      </c>
      <c r="R8" s="2976">
        <f ca="1">SUMIF('数据-汇总表'!C$19:C$33,A8,'数据-汇总表'!R$19:R$27)</f>
        <v>7347.96</v>
      </c>
      <c r="S8" s="2745">
        <f>IF('数据-汇总表'!$I$17="按面积比例",SUMIF('数据-汇总表'!C$19:C$33,A8,'数据-汇总表'!K$19:K$33),SUMIF('数据-汇总表'!C$19:C$33,A8,'数据-汇总表'!N$19:N$33))</f>
        <v>0</v>
      </c>
      <c r="T8" s="2977">
        <f t="shared" si="5"/>
        <v>0</v>
      </c>
      <c r="U8" s="2990"/>
      <c r="V8" s="2991"/>
      <c r="W8" s="2991"/>
      <c r="X8" s="2741"/>
      <c r="Y8" s="2992"/>
      <c r="Z8" s="2981"/>
      <c r="AA8" s="2973"/>
      <c r="AB8" s="2973"/>
      <c r="AC8" s="2741"/>
      <c r="AD8" s="2982"/>
      <c r="AE8" s="2983">
        <f t="shared" ca="1" si="6"/>
        <v>0</v>
      </c>
      <c r="AF8" s="2984"/>
      <c r="AG8" s="2898">
        <f t="shared" si="7"/>
        <v>0</v>
      </c>
      <c r="AH8" s="2993">
        <v>463</v>
      </c>
      <c r="AI8" s="2986"/>
      <c r="AJ8" s="2984"/>
      <c r="AK8" s="2994"/>
      <c r="AL8" s="2994"/>
      <c r="AM8" s="2995"/>
      <c r="AN8" s="2988"/>
      <c r="AO8" s="2745" t="e">
        <f t="shared" ca="1" si="8"/>
        <v>#REF!</v>
      </c>
      <c r="AP8" s="2989">
        <f t="shared" si="9"/>
        <v>0</v>
      </c>
      <c r="AQ8" s="2745">
        <f t="shared" si="10"/>
        <v>0</v>
      </c>
      <c r="AR8" s="2745">
        <f t="shared" si="11"/>
        <v>0</v>
      </c>
      <c r="AS8" s="2936"/>
      <c r="AT8" s="2936"/>
      <c r="AU8" s="2936"/>
      <c r="AV8" s="2936"/>
      <c r="AW8" s="2936"/>
      <c r="AX8" s="2936"/>
      <c r="AY8" s="2936"/>
      <c r="AZ8" s="2936"/>
      <c r="BA8" s="2936"/>
      <c r="BB8" s="2936"/>
      <c r="BC8" s="2936"/>
      <c r="BD8" s="2936"/>
      <c r="BE8" s="2936"/>
      <c r="BF8" s="2936"/>
      <c r="BG8" s="2936"/>
      <c r="BH8" s="2936"/>
      <c r="BI8" s="2936"/>
      <c r="BJ8" s="2936"/>
      <c r="BK8" s="2936"/>
      <c r="BL8" s="2936"/>
      <c r="BM8" s="2936"/>
      <c r="BN8" s="2936"/>
      <c r="BO8" s="2936"/>
    </row>
    <row r="9" spans="1:67" s="2937" customFormat="1" ht="13.8">
      <c r="A9" s="2968" t="str">
        <f>'数据-汇总表'!C22</f>
        <v>配套房</v>
      </c>
      <c r="B9" s="2969" t="str">
        <f t="shared" si="1"/>
        <v>经营性</v>
      </c>
      <c r="C9" s="2970"/>
      <c r="D9" s="2971">
        <f>SUMIF(项目基本情况!D$12:I$12,C9,项目基本情况!D$14:I$14)</f>
        <v>0</v>
      </c>
      <c r="E9" s="2449">
        <f>IF(B9="","",SUMIF(项目基本情况!D$12:I$12,C9,项目基本情况!D$13:I$13))</f>
        <v>0</v>
      </c>
      <c r="F9" s="2972">
        <f>SUMIF(项目基本情况!D$12:I$12,C9,项目基本情况!D$15:I$15)</f>
        <v>0</v>
      </c>
      <c r="G9" s="2972">
        <f t="shared" si="2"/>
        <v>0</v>
      </c>
      <c r="H9" s="2973"/>
      <c r="I9" s="2973"/>
      <c r="J9" s="2973"/>
      <c r="K9" s="2971">
        <f>SUMIF('数据-汇总表'!C$19:C$33,A9,'数据-汇总表'!E$19:E$33)</f>
        <v>237.22</v>
      </c>
      <c r="L9" s="2974">
        <f>L8</f>
        <v>3290</v>
      </c>
      <c r="M9" s="2975">
        <f t="shared" si="0"/>
        <v>78</v>
      </c>
      <c r="N9" s="3566">
        <f>N6</f>
        <v>0.47</v>
      </c>
      <c r="O9" s="2975">
        <f t="shared" si="3"/>
        <v>37</v>
      </c>
      <c r="P9" s="2741">
        <f t="shared" si="4"/>
        <v>41</v>
      </c>
      <c r="Q9" s="2996">
        <v>0</v>
      </c>
      <c r="R9" s="2976">
        <f ca="1">SUMIF('数据-汇总表'!C$19:C$33,A9,'数据-汇总表'!R$19:R$27)</f>
        <v>101.54</v>
      </c>
      <c r="S9" s="2745">
        <f>IF('数据-汇总表'!$I$17="按面积比例",SUMIF('数据-汇总表'!C$19:C$33,A9,'数据-汇总表'!K$19:K$33),SUMIF('数据-汇总表'!C$19:C$33,A9,'数据-汇总表'!N$19:N$33))</f>
        <v>0</v>
      </c>
      <c r="T9" s="2977">
        <f t="shared" si="5"/>
        <v>0</v>
      </c>
      <c r="U9" s="2978"/>
      <c r="V9" s="2979"/>
      <c r="W9" s="2979"/>
      <c r="X9" s="2741"/>
      <c r="Y9" s="2980"/>
      <c r="Z9" s="2981"/>
      <c r="AA9" s="2973"/>
      <c r="AB9" s="2973"/>
      <c r="AC9" s="2741"/>
      <c r="AD9" s="2982"/>
      <c r="AE9" s="2983">
        <f t="shared" ca="1" si="6"/>
        <v>0</v>
      </c>
      <c r="AF9" s="2984"/>
      <c r="AG9" s="2898">
        <f t="shared" si="7"/>
        <v>0</v>
      </c>
      <c r="AH9" s="2985"/>
      <c r="AI9" s="2986"/>
      <c r="AJ9" s="2984"/>
      <c r="AK9" s="2984"/>
      <c r="AL9" s="2984"/>
      <c r="AM9" s="2987"/>
      <c r="AN9" s="2988"/>
      <c r="AO9" s="2745" t="e">
        <f t="shared" ca="1" si="8"/>
        <v>#REF!</v>
      </c>
      <c r="AP9" s="2989">
        <f t="shared" si="9"/>
        <v>0</v>
      </c>
      <c r="AQ9" s="2745">
        <f t="shared" si="10"/>
        <v>0</v>
      </c>
      <c r="AR9" s="2745">
        <f t="shared" si="11"/>
        <v>0</v>
      </c>
      <c r="AS9" s="2936"/>
      <c r="AT9" s="2936"/>
      <c r="AU9" s="2936"/>
      <c r="AV9" s="2936"/>
      <c r="AW9" s="2936"/>
      <c r="AX9" s="2936"/>
      <c r="AY9" s="2936"/>
      <c r="AZ9" s="2936"/>
      <c r="BA9" s="2936"/>
      <c r="BB9" s="2936"/>
      <c r="BC9" s="2936"/>
      <c r="BD9" s="2936"/>
      <c r="BE9" s="2936"/>
      <c r="BF9" s="2936"/>
      <c r="BG9" s="2936"/>
      <c r="BH9" s="2936"/>
      <c r="BI9" s="2936"/>
      <c r="BJ9" s="2936"/>
      <c r="BK9" s="2936"/>
      <c r="BL9" s="2936"/>
      <c r="BM9" s="2936"/>
      <c r="BN9" s="2936"/>
      <c r="BO9" s="2936"/>
    </row>
    <row r="10" spans="1:67" s="2937" customFormat="1" ht="13.8">
      <c r="A10" s="2968">
        <f>'数据-汇总表'!C23</f>
        <v>0</v>
      </c>
      <c r="B10" s="2969" t="str">
        <f t="shared" si="1"/>
        <v/>
      </c>
      <c r="C10" s="2970"/>
      <c r="D10" s="2971">
        <f>SUMIF(项目基本情况!D$12:I$12,C10,项目基本情况!D$14:I$14)</f>
        <v>0</v>
      </c>
      <c r="E10" s="2449" t="str">
        <f>IF(B10="","",SUMIF(项目基本情况!D$12:I$12,C10,项目基本情况!D$13:I$13))</f>
        <v/>
      </c>
      <c r="F10" s="2972">
        <f>SUMIF(项目基本情况!D$12:I$12,C10,项目基本情况!D$15:I$15)</f>
        <v>0</v>
      </c>
      <c r="G10" s="2972">
        <f t="shared" si="2"/>
        <v>0</v>
      </c>
      <c r="H10" s="2973"/>
      <c r="I10" s="2973"/>
      <c r="J10" s="2973"/>
      <c r="K10" s="2971">
        <f>SUMIF('数据-汇总表'!C$19:C$33,A10,'数据-汇总表'!E$19:E$33)</f>
        <v>0</v>
      </c>
      <c r="L10" s="2974"/>
      <c r="M10" s="2975">
        <f t="shared" si="0"/>
        <v>0</v>
      </c>
      <c r="N10" s="3566"/>
      <c r="O10" s="2975">
        <f t="shared" si="3"/>
        <v>0</v>
      </c>
      <c r="P10" s="2741">
        <f t="shared" si="4"/>
        <v>0</v>
      </c>
      <c r="Q10" s="2996"/>
      <c r="R10" s="2976">
        <f ca="1">SUMIF('数据-汇总表'!C$19:C$33,A10,'数据-汇总表'!R$19:R$27)</f>
        <v>0</v>
      </c>
      <c r="S10" s="2745">
        <f>IF('数据-汇总表'!$I$17="按面积比例",SUMIF('数据-汇总表'!C$19:C$33,A10,'数据-汇总表'!K$19:K$33),SUMIF('数据-汇总表'!C$19:C$33,A10,'数据-汇总表'!N$19:N$33))</f>
        <v>0</v>
      </c>
      <c r="T10" s="2977">
        <f t="shared" si="5"/>
        <v>0</v>
      </c>
      <c r="U10" s="2978"/>
      <c r="V10" s="2979"/>
      <c r="W10" s="2979"/>
      <c r="X10" s="2741"/>
      <c r="Y10" s="2980"/>
      <c r="Z10" s="2981"/>
      <c r="AA10" s="2973"/>
      <c r="AB10" s="2973"/>
      <c r="AC10" s="2741"/>
      <c r="AD10" s="2982"/>
      <c r="AE10" s="2983">
        <f t="shared" ca="1" si="6"/>
        <v>0</v>
      </c>
      <c r="AF10" s="2984"/>
      <c r="AG10" s="2898">
        <f t="shared" si="7"/>
        <v>0</v>
      </c>
      <c r="AH10" s="2985"/>
      <c r="AI10" s="2986"/>
      <c r="AJ10" s="2984"/>
      <c r="AK10" s="2984"/>
      <c r="AL10" s="2984"/>
      <c r="AM10" s="2987"/>
      <c r="AN10" s="2988"/>
      <c r="AO10" s="2745" t="e">
        <f t="shared" ca="1" si="8"/>
        <v>#REF!</v>
      </c>
      <c r="AP10" s="2989">
        <f t="shared" si="9"/>
        <v>0</v>
      </c>
      <c r="AQ10" s="2745">
        <f t="shared" si="10"/>
        <v>0</v>
      </c>
      <c r="AR10" s="2745">
        <f t="shared" si="11"/>
        <v>0</v>
      </c>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row>
    <row r="11" spans="1:67" s="2937" customFormat="1" ht="13.8">
      <c r="A11" s="2968">
        <f>'数据-汇总表'!C24</f>
        <v>0</v>
      </c>
      <c r="B11" s="2969" t="str">
        <f t="shared" si="1"/>
        <v/>
      </c>
      <c r="C11" s="2970"/>
      <c r="D11" s="2971">
        <f>SUMIF(项目基本情况!D$12:I$12,C11,项目基本情况!D$14:I$14)</f>
        <v>0</v>
      </c>
      <c r="E11" s="2449" t="str">
        <f>IF(B11="","",SUMIF(项目基本情况!D$12:I$12,C11,项目基本情况!D$13:I$13))</f>
        <v/>
      </c>
      <c r="F11" s="2972">
        <f>SUMIF(项目基本情况!D$12:I$12,C11,项目基本情况!D$15:I$15)</f>
        <v>0</v>
      </c>
      <c r="G11" s="2972">
        <f t="shared" si="2"/>
        <v>0</v>
      </c>
      <c r="H11" s="2973"/>
      <c r="I11" s="2973"/>
      <c r="J11" s="2973"/>
      <c r="K11" s="2971">
        <f>SUMIF('数据-汇总表'!C$19:C$33,A11,'数据-汇总表'!E$19:E$33)</f>
        <v>0</v>
      </c>
      <c r="L11" s="2997"/>
      <c r="M11" s="2975">
        <f t="shared" si="0"/>
        <v>0</v>
      </c>
      <c r="N11" s="3567"/>
      <c r="O11" s="2975">
        <f t="shared" si="3"/>
        <v>0</v>
      </c>
      <c r="P11" s="2741">
        <f t="shared" si="4"/>
        <v>0</v>
      </c>
      <c r="Q11" s="2996"/>
      <c r="R11" s="2976">
        <f ca="1">SUMIF('数据-汇总表'!C$19:C$33,A11,'数据-汇总表'!R$19:R$27)</f>
        <v>0</v>
      </c>
      <c r="S11" s="2745">
        <f>IF('数据-汇总表'!$I$17="按面积比例",SUMIF('数据-汇总表'!C$19:C$33,A11,'数据-汇总表'!K$19:K$33),SUMIF('数据-汇总表'!C$19:C$33,A11,'数据-汇总表'!N$19:N$33))</f>
        <v>0</v>
      </c>
      <c r="T11" s="2977">
        <f t="shared" si="5"/>
        <v>0</v>
      </c>
      <c r="U11" s="2985"/>
      <c r="V11" s="2973"/>
      <c r="W11" s="2973"/>
      <c r="X11" s="2741"/>
      <c r="Y11" s="2980"/>
      <c r="Z11" s="2998"/>
      <c r="AA11" s="2973"/>
      <c r="AB11" s="2973"/>
      <c r="AC11" s="2741"/>
      <c r="AD11" s="2982"/>
      <c r="AE11" s="2983">
        <f t="shared" ca="1" si="6"/>
        <v>0</v>
      </c>
      <c r="AF11" s="2984"/>
      <c r="AG11" s="2898">
        <f t="shared" si="7"/>
        <v>0</v>
      </c>
      <c r="AH11" s="2985"/>
      <c r="AI11" s="2986"/>
      <c r="AJ11" s="2984"/>
      <c r="AK11" s="2973"/>
      <c r="AL11" s="2973"/>
      <c r="AM11" s="2999"/>
      <c r="AN11" s="2988"/>
      <c r="AO11" s="2745" t="e">
        <f t="shared" ca="1" si="8"/>
        <v>#REF!</v>
      </c>
      <c r="AP11" s="2989">
        <f t="shared" si="9"/>
        <v>0</v>
      </c>
      <c r="AQ11" s="2745">
        <f t="shared" si="10"/>
        <v>0</v>
      </c>
      <c r="AR11" s="2745">
        <f t="shared" si="11"/>
        <v>0</v>
      </c>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row>
    <row r="12" spans="1:67" s="2937" customFormat="1" ht="13.8">
      <c r="A12" s="2968">
        <f>'数据-汇总表'!C25</f>
        <v>0</v>
      </c>
      <c r="B12" s="2969" t="str">
        <f t="shared" si="1"/>
        <v/>
      </c>
      <c r="C12" s="2970"/>
      <c r="D12" s="2971">
        <f>SUMIF(项目基本情况!D$12:I$12,C12,项目基本情况!D$14:I$14)</f>
        <v>0</v>
      </c>
      <c r="E12" s="2449" t="str">
        <f>IF(B12="","",SUMIF(项目基本情况!D$12:I$12,C12,项目基本情况!D$13:I$13))</f>
        <v/>
      </c>
      <c r="F12" s="2972">
        <f>SUMIF(项目基本情况!D$12:I$12,C12,项目基本情况!D$15:I$15)</f>
        <v>0</v>
      </c>
      <c r="G12" s="2972">
        <f>IF(ISERROR(ROUND(POWER(1+H12,D12-F12)*(POWER(1+H12,F12)-1)/(POWER(1+H12,D12)-1),3)),0,ROUND(POWER(1+H12,D12-F12)*(POWER(1+H12,F12)-1)/(POWER(1+H12,D12)-1),3))</f>
        <v>0</v>
      </c>
      <c r="H12" s="2973"/>
      <c r="I12" s="2973"/>
      <c r="J12" s="2973"/>
      <c r="K12" s="2971">
        <f>SUMIF('数据-汇总表'!C$19:C$33,A12,'数据-汇总表'!E$19:E$33)</f>
        <v>0</v>
      </c>
      <c r="L12" s="2997"/>
      <c r="M12" s="2975">
        <f>ROUND(K12*L12/10000,0)</f>
        <v>0</v>
      </c>
      <c r="N12" s="3567"/>
      <c r="O12" s="2975">
        <f t="shared" si="3"/>
        <v>0</v>
      </c>
      <c r="P12" s="2741">
        <f t="shared" si="4"/>
        <v>0</v>
      </c>
      <c r="Q12" s="2996"/>
      <c r="R12" s="2976">
        <f ca="1">SUMIF('数据-汇总表'!C$19:C$33,A12,'数据-汇总表'!R$19:R$27)</f>
        <v>0</v>
      </c>
      <c r="S12" s="2745">
        <f>IF('数据-汇总表'!$I$17="按面积比例",SUMIF('数据-汇总表'!C$19:C$33,A12,'数据-汇总表'!K$19:K$33),SUMIF('数据-汇总表'!C$19:C$33,A12,'数据-汇总表'!N$19:N$33))</f>
        <v>0</v>
      </c>
      <c r="T12" s="2977">
        <f t="shared" si="5"/>
        <v>0</v>
      </c>
      <c r="U12" s="2985"/>
      <c r="V12" s="2973"/>
      <c r="W12" s="2973"/>
      <c r="X12" s="2741"/>
      <c r="Y12" s="2980"/>
      <c r="Z12" s="2998"/>
      <c r="AA12" s="2973"/>
      <c r="AB12" s="2973"/>
      <c r="AC12" s="2741"/>
      <c r="AD12" s="2982"/>
      <c r="AE12" s="2983">
        <f t="shared" ca="1" si="6"/>
        <v>0</v>
      </c>
      <c r="AF12" s="2984"/>
      <c r="AG12" s="2898">
        <f t="shared" si="7"/>
        <v>0</v>
      </c>
      <c r="AH12" s="2985"/>
      <c r="AI12" s="2986"/>
      <c r="AJ12" s="2984"/>
      <c r="AK12" s="2973"/>
      <c r="AL12" s="2973"/>
      <c r="AM12" s="2999"/>
      <c r="AN12" s="2988"/>
      <c r="AO12" s="2745" t="e">
        <f t="shared" ca="1" si="8"/>
        <v>#REF!</v>
      </c>
      <c r="AP12" s="2989">
        <f t="shared" si="9"/>
        <v>0</v>
      </c>
      <c r="AQ12" s="2745">
        <f t="shared" si="10"/>
        <v>0</v>
      </c>
      <c r="AR12" s="2745">
        <f t="shared" si="11"/>
        <v>0</v>
      </c>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row>
    <row r="13" spans="1:67" s="2937" customFormat="1" ht="13.8">
      <c r="A13" s="2968">
        <f>'数据-汇总表'!C26</f>
        <v>0</v>
      </c>
      <c r="B13" s="2969" t="str">
        <f t="shared" si="1"/>
        <v/>
      </c>
      <c r="C13" s="2970"/>
      <c r="D13" s="2971">
        <f>SUMIF(项目基本情况!D$12:I$12,C13,项目基本情况!D$14:I$14)</f>
        <v>0</v>
      </c>
      <c r="E13" s="2449" t="str">
        <f>IF(B13="","",SUMIF(项目基本情况!D$12:I$12,C13,项目基本情况!D$13:I$13))</f>
        <v/>
      </c>
      <c r="F13" s="2972">
        <f>SUMIF(项目基本情况!D$12:I$12,C13,项目基本情况!D$15:I$15)</f>
        <v>0</v>
      </c>
      <c r="G13" s="2972">
        <f>IF(ISERROR(ROUND(POWER(1+H13,D13-F13)*(POWER(1+H13,F13)-1)/(POWER(1+H13,D13)-1),3)),0,ROUND(POWER(1+H13,D13-F13)*(POWER(1+H13,F13)-1)/(POWER(1+H13,D13)-1),3))</f>
        <v>0</v>
      </c>
      <c r="H13" s="2973"/>
      <c r="I13" s="2973"/>
      <c r="J13" s="2973"/>
      <c r="K13" s="2971">
        <f>SUMIF('数据-汇总表'!C$19:C$33,A13,'数据-汇总表'!E$19:E$33)</f>
        <v>0</v>
      </c>
      <c r="L13" s="2997"/>
      <c r="M13" s="2975">
        <f>ROUND(K13*L13/10000,0)</f>
        <v>0</v>
      </c>
      <c r="N13" s="3567"/>
      <c r="O13" s="2975">
        <f t="shared" si="3"/>
        <v>0</v>
      </c>
      <c r="P13" s="2741">
        <f t="shared" si="4"/>
        <v>0</v>
      </c>
      <c r="Q13" s="2996"/>
      <c r="R13" s="2976">
        <f ca="1">SUMIF('数据-汇总表'!C$19:C$33,A13,'数据-汇总表'!R$19:R$27)</f>
        <v>0</v>
      </c>
      <c r="S13" s="2745">
        <f>IF('数据-汇总表'!$I$17="按面积比例",SUMIF('数据-汇总表'!C$19:C$33,A13,'数据-汇总表'!K$19:K$33),SUMIF('数据-汇总表'!C$19:C$33,A13,'数据-汇总表'!N$19:N$33))</f>
        <v>0</v>
      </c>
      <c r="T13" s="2977">
        <f t="shared" si="5"/>
        <v>0</v>
      </c>
      <c r="U13" s="2978"/>
      <c r="V13" s="2979"/>
      <c r="W13" s="2979"/>
      <c r="X13" s="2741"/>
      <c r="Y13" s="2980"/>
      <c r="Z13" s="2981"/>
      <c r="AA13" s="2973"/>
      <c r="AB13" s="2973"/>
      <c r="AC13" s="2741"/>
      <c r="AD13" s="2982"/>
      <c r="AE13" s="2983">
        <f t="shared" ca="1" si="6"/>
        <v>0</v>
      </c>
      <c r="AF13" s="2984"/>
      <c r="AG13" s="2898">
        <f t="shared" si="7"/>
        <v>0</v>
      </c>
      <c r="AH13" s="2985"/>
      <c r="AI13" s="2986"/>
      <c r="AJ13" s="2984"/>
      <c r="AK13" s="2984"/>
      <c r="AL13" s="2984"/>
      <c r="AM13" s="2987"/>
      <c r="AN13" s="2988"/>
      <c r="AO13" s="2745" t="e">
        <f t="shared" ca="1" si="8"/>
        <v>#REF!</v>
      </c>
      <c r="AP13" s="2989">
        <f t="shared" si="9"/>
        <v>0</v>
      </c>
      <c r="AQ13" s="2745">
        <f t="shared" si="10"/>
        <v>0</v>
      </c>
      <c r="AR13" s="2745">
        <f t="shared" si="11"/>
        <v>0</v>
      </c>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row>
    <row r="14" spans="1:67" s="2937" customFormat="1" ht="14.4">
      <c r="A14" s="3000" t="s">
        <v>1651</v>
      </c>
      <c r="B14" s="2969" t="s">
        <v>1652</v>
      </c>
      <c r="C14" s="3001" t="s">
        <v>1651</v>
      </c>
      <c r="D14" s="2971"/>
      <c r="E14" s="2449"/>
      <c r="F14" s="2972"/>
      <c r="G14" s="2972"/>
      <c r="H14" s="3002"/>
      <c r="I14" s="3002"/>
      <c r="J14" s="3002"/>
      <c r="K14" s="2971">
        <f>SUMIF('数据-汇总表'!C$19:C$33,A14,'数据-汇总表'!E$19:E$33)</f>
        <v>0</v>
      </c>
      <c r="L14" s="2997">
        <f>L8</f>
        <v>3290</v>
      </c>
      <c r="M14" s="2975">
        <f t="shared" si="0"/>
        <v>0</v>
      </c>
      <c r="N14" s="3567">
        <f>N8</f>
        <v>0.47</v>
      </c>
      <c r="O14" s="2975">
        <f t="shared" si="3"/>
        <v>0</v>
      </c>
      <c r="P14" s="2741">
        <f t="shared" si="4"/>
        <v>0</v>
      </c>
      <c r="Q14" s="2741"/>
      <c r="R14" s="2976"/>
      <c r="S14" s="2745"/>
      <c r="T14" s="2977"/>
      <c r="U14" s="3003"/>
      <c r="V14" s="3004"/>
      <c r="W14" s="3004"/>
      <c r="X14" s="3005"/>
      <c r="Y14" s="3006"/>
      <c r="Z14" s="3007"/>
      <c r="AA14" s="2745"/>
      <c r="AB14" s="2745"/>
      <c r="AC14" s="2741"/>
      <c r="AD14" s="3005"/>
      <c r="AE14" s="2983"/>
      <c r="AF14" s="2745"/>
      <c r="AG14" s="2898"/>
      <c r="AH14" s="2983"/>
      <c r="AI14" s="2742"/>
      <c r="AJ14" s="2745"/>
      <c r="AK14" s="2745"/>
      <c r="AL14" s="2745"/>
      <c r="AM14" s="3008"/>
      <c r="AN14" s="2929"/>
      <c r="AO14" s="2935"/>
      <c r="AP14" s="2935"/>
      <c r="AQ14" s="2935"/>
      <c r="AR14" s="2935"/>
      <c r="AS14" s="2936"/>
      <c r="AT14" s="2936"/>
      <c r="AU14" s="2936"/>
      <c r="AV14" s="2936"/>
      <c r="AW14" s="2936"/>
      <c r="AX14" s="2936"/>
      <c r="AY14" s="2936"/>
      <c r="AZ14" s="2936"/>
      <c r="BA14" s="2936"/>
      <c r="BB14" s="2936"/>
      <c r="BC14" s="2936"/>
      <c r="BD14" s="2936"/>
      <c r="BE14" s="2936"/>
      <c r="BF14" s="2936"/>
      <c r="BG14" s="2936"/>
      <c r="BH14" s="2936"/>
      <c r="BI14" s="2936"/>
      <c r="BJ14" s="2936"/>
      <c r="BK14" s="2936"/>
      <c r="BL14" s="2936"/>
      <c r="BM14" s="2936"/>
      <c r="BN14" s="2936"/>
      <c r="BO14" s="2936"/>
    </row>
    <row r="15" spans="1:67" s="2937" customFormat="1" ht="28.8">
      <c r="A15" s="3000" t="s">
        <v>1653</v>
      </c>
      <c r="B15" s="2969" t="s">
        <v>1652</v>
      </c>
      <c r="C15" s="3001" t="s">
        <v>1654</v>
      </c>
      <c r="D15" s="2971"/>
      <c r="E15" s="2449"/>
      <c r="F15" s="2972"/>
      <c r="G15" s="2972"/>
      <c r="H15" s="3002"/>
      <c r="I15" s="3002"/>
      <c r="J15" s="3002"/>
      <c r="K15" s="2971">
        <f>SUMIF('数据-汇总表'!C$19:C$33,A15,'数据-汇总表'!E$19:E$33)</f>
        <v>0</v>
      </c>
      <c r="L15" s="2975"/>
      <c r="M15" s="2975"/>
      <c r="N15" s="2975"/>
      <c r="O15" s="2975"/>
      <c r="P15" s="2741"/>
      <c r="Q15" s="2741"/>
      <c r="R15" s="2976"/>
      <c r="S15" s="2745"/>
      <c r="T15" s="2977"/>
      <c r="U15" s="3003"/>
      <c r="V15" s="3004"/>
      <c r="W15" s="3004"/>
      <c r="X15" s="3005"/>
      <c r="Y15" s="3006"/>
      <c r="Z15" s="3007"/>
      <c r="AA15" s="2745"/>
      <c r="AB15" s="2745"/>
      <c r="AC15" s="2741"/>
      <c r="AD15" s="3005"/>
      <c r="AE15" s="2983"/>
      <c r="AF15" s="2745"/>
      <c r="AG15" s="2898"/>
      <c r="AH15" s="2983"/>
      <c r="AI15" s="2742"/>
      <c r="AJ15" s="2745"/>
      <c r="AK15" s="2745"/>
      <c r="AL15" s="2745"/>
      <c r="AM15" s="3008"/>
      <c r="AN15" s="2929"/>
      <c r="AO15" s="2935"/>
      <c r="AP15" s="2935"/>
      <c r="AQ15" s="2935"/>
      <c r="AR15" s="2935"/>
      <c r="AS15" s="2936"/>
      <c r="AT15" s="2936"/>
      <c r="AU15" s="2936"/>
      <c r="AV15" s="2936"/>
      <c r="AW15" s="2936"/>
      <c r="AX15" s="2936"/>
      <c r="AY15" s="2936"/>
      <c r="AZ15" s="2936"/>
      <c r="BA15" s="2936"/>
      <c r="BB15" s="2936"/>
      <c r="BC15" s="2936"/>
      <c r="BD15" s="2936"/>
      <c r="BE15" s="2936"/>
      <c r="BF15" s="2936"/>
      <c r="BG15" s="2936"/>
      <c r="BH15" s="2936"/>
      <c r="BI15" s="2936"/>
      <c r="BJ15" s="2936"/>
      <c r="BK15" s="2936"/>
      <c r="BL15" s="2936"/>
      <c r="BM15" s="2936"/>
      <c r="BN15" s="2936"/>
      <c r="BO15" s="2936"/>
    </row>
    <row r="16" spans="1:67" s="2937" customFormat="1" ht="15" thickBot="1">
      <c r="A16" s="3009" t="s">
        <v>1655</v>
      </c>
      <c r="B16" s="3010"/>
      <c r="C16" s="2467"/>
      <c r="D16" s="3011"/>
      <c r="E16" s="3010"/>
      <c r="F16" s="3010"/>
      <c r="G16" s="3012">
        <f>ROUND(SUMPRODUCT(G6:G13,K6:K13)/SUMPRODUCT((G6:G13&gt;0)*(K6:K13)),3)</f>
        <v>0.995</v>
      </c>
      <c r="H16" s="3010">
        <f>ROUND(SUMPRODUCT(H6:H13,K6:K13)/SUMPRODUCT((H6:H13&gt;0)*(K6:K13)),3)</f>
        <v>4.2000000000000003E-2</v>
      </c>
      <c r="I16" s="3013"/>
      <c r="J16" s="3013"/>
      <c r="K16" s="3014">
        <f>SUM(K6:K15)</f>
        <v>122002.77000000002</v>
      </c>
      <c r="L16" s="3015">
        <f>ROUND(M16*10000/SUM(K6:K14),0)</f>
        <v>3770</v>
      </c>
      <c r="M16" s="3015">
        <f>SUM(M6:M14)</f>
        <v>45992</v>
      </c>
      <c r="N16" s="3601">
        <f>ROUND(SUMPRODUCT(M6:M14,N6:N14)/M16,3)</f>
        <v>0.47</v>
      </c>
      <c r="O16" s="3015">
        <f>SUM(O6:O14)</f>
        <v>21617</v>
      </c>
      <c r="P16" s="3015">
        <f>SUM(P6:P14)</f>
        <v>24375</v>
      </c>
      <c r="Q16" s="3565">
        <f>ROUND(SUMPRODUCT(Q6:Q13,K6:K13)/SUMPRODUCT((Q6:Q13&gt;0)*(K6:K13)),2)</f>
        <v>0.11</v>
      </c>
      <c r="R16" s="3016">
        <f ca="1">SUM(R6:R13)</f>
        <v>52221.18</v>
      </c>
      <c r="S16" s="3017">
        <f>SUM(S6:S13)</f>
        <v>0</v>
      </c>
      <c r="T16" s="3018">
        <f>IF(SUMIF(T6:T13,"&lt;9E307")=M14,SUMIF(T6:T13,"&lt;9E307"),"有误，请检查")</f>
        <v>0</v>
      </c>
      <c r="U16" s="3019"/>
      <c r="V16" s="3020"/>
      <c r="W16" s="3020"/>
      <c r="X16" s="3021"/>
      <c r="Y16" s="3022"/>
      <c r="Z16" s="3023"/>
      <c r="AA16" s="3020"/>
      <c r="AB16" s="3020"/>
      <c r="AC16" s="3021"/>
      <c r="AD16" s="3021"/>
      <c r="AE16" s="3019"/>
      <c r="AF16" s="3020"/>
      <c r="AG16" s="3022"/>
      <c r="AH16" s="3019"/>
      <c r="AI16" s="3023"/>
      <c r="AJ16" s="3023"/>
      <c r="AK16" s="3020"/>
      <c r="AL16" s="3020"/>
      <c r="AM16" s="3022"/>
      <c r="AN16" s="2929"/>
      <c r="AO16" s="2935"/>
      <c r="AP16" s="2935"/>
      <c r="AQ16" s="2935"/>
      <c r="AR16" s="2935"/>
      <c r="AS16" s="2936"/>
      <c r="AT16" s="2936"/>
      <c r="AU16" s="2936"/>
      <c r="AV16" s="2936"/>
      <c r="AW16" s="2936"/>
      <c r="AX16" s="2936"/>
      <c r="AY16" s="2936"/>
      <c r="AZ16" s="2936"/>
      <c r="BA16" s="2936"/>
      <c r="BB16" s="2936"/>
      <c r="BC16" s="2936"/>
      <c r="BD16" s="2936"/>
      <c r="BE16" s="2936"/>
      <c r="BF16" s="2936"/>
      <c r="BG16" s="2936"/>
      <c r="BH16" s="2936"/>
      <c r="BI16" s="2936"/>
      <c r="BJ16" s="2936"/>
      <c r="BK16" s="2936"/>
      <c r="BL16" s="2936"/>
      <c r="BM16" s="2936"/>
      <c r="BN16" s="2936"/>
      <c r="BO16" s="2936"/>
    </row>
    <row r="17" spans="1:67" ht="13.8" thickBot="1">
      <c r="A17" s="3024"/>
      <c r="B17" s="3025"/>
      <c r="C17" s="2929"/>
      <c r="D17" s="2929"/>
      <c r="E17" s="2929"/>
      <c r="F17" s="2929"/>
      <c r="G17" s="2929"/>
      <c r="H17" s="2929"/>
      <c r="I17" s="2929"/>
      <c r="J17" s="2929"/>
      <c r="K17" s="3026"/>
      <c r="L17" s="3026"/>
      <c r="M17" s="2929"/>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c r="AL17" s="2929"/>
      <c r="AM17" s="2929"/>
      <c r="AN17" s="2929"/>
      <c r="AO17" s="2929"/>
      <c r="AP17" s="2929"/>
      <c r="AQ17" s="2929"/>
      <c r="AR17" s="2929"/>
    </row>
    <row r="18" spans="1:67" ht="15" thickBot="1">
      <c r="A18" s="2940" t="s">
        <v>1656</v>
      </c>
      <c r="B18" s="3027"/>
      <c r="C18" s="2935"/>
      <c r="D18" s="2935"/>
      <c r="E18" s="2935"/>
      <c r="F18" s="2935"/>
      <c r="G18" s="2935"/>
      <c r="H18" s="2935"/>
      <c r="I18" s="2935"/>
      <c r="J18" s="2935"/>
      <c r="K18" s="3026"/>
      <c r="L18" s="3026"/>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29"/>
    </row>
    <row r="19" spans="1:67" ht="14.4">
      <c r="A19" s="3028" t="s">
        <v>1657</v>
      </c>
      <c r="B19" s="3029">
        <v>0</v>
      </c>
      <c r="C19" s="3030" t="s">
        <v>2800</v>
      </c>
      <c r="D19" s="2935"/>
      <c r="E19" s="2935"/>
      <c r="F19" s="2935"/>
      <c r="G19" s="2935"/>
      <c r="H19" s="2935"/>
      <c r="I19" s="2935"/>
      <c r="J19" s="2935"/>
      <c r="K19" s="3026"/>
      <c r="L19" s="3026"/>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29"/>
      <c r="AJ19" s="2929"/>
      <c r="AK19" s="2929"/>
      <c r="AL19" s="2929"/>
      <c r="AM19" s="2929"/>
      <c r="AN19" s="2929"/>
      <c r="AO19" s="2929"/>
      <c r="AP19" s="2929"/>
      <c r="AQ19" s="2929"/>
      <c r="AR19" s="2929"/>
    </row>
    <row r="20" spans="1:67" ht="14.4">
      <c r="A20" s="3031" t="s">
        <v>1658</v>
      </c>
      <c r="B20" s="3032">
        <v>2</v>
      </c>
      <c r="C20" s="3033" t="s">
        <v>2798</v>
      </c>
      <c r="D20" s="2935"/>
      <c r="E20" s="2935"/>
      <c r="F20" s="2935"/>
      <c r="G20" s="2935"/>
      <c r="H20" s="2935"/>
      <c r="I20" s="2935"/>
      <c r="J20" s="2935"/>
      <c r="K20" s="3026"/>
      <c r="L20" s="3026"/>
      <c r="M20" s="2929"/>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c r="AL20" s="2929"/>
      <c r="AM20" s="2929"/>
      <c r="AN20" s="2929"/>
      <c r="AO20" s="2929"/>
      <c r="AP20" s="2929"/>
      <c r="AQ20" s="2929"/>
      <c r="AR20" s="2929"/>
    </row>
    <row r="21" spans="1:67" ht="14.4">
      <c r="A21" s="3034" t="s">
        <v>1659</v>
      </c>
      <c r="B21" s="3032">
        <f>B20*N16</f>
        <v>0.94</v>
      </c>
      <c r="C21" s="2935"/>
      <c r="D21" s="2935"/>
      <c r="E21" s="2935"/>
      <c r="F21" s="2935"/>
      <c r="G21" s="2935"/>
      <c r="H21" s="2935"/>
      <c r="I21" s="2935"/>
      <c r="J21" s="2935"/>
      <c r="K21" s="3026"/>
      <c r="L21" s="3026"/>
      <c r="M21" s="2929"/>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c r="AL21" s="2929"/>
      <c r="AM21" s="2929"/>
      <c r="AN21" s="2929"/>
      <c r="AO21" s="2929"/>
      <c r="AP21" s="2929"/>
      <c r="AQ21" s="2929"/>
      <c r="AR21" s="2929"/>
    </row>
    <row r="22" spans="1:67" ht="14.4">
      <c r="A22" s="3031" t="s">
        <v>1660</v>
      </c>
      <c r="B22" s="3035">
        <f>B19+B20</f>
        <v>2</v>
      </c>
      <c r="C22" s="2935"/>
      <c r="D22" s="2935"/>
      <c r="E22" s="2935"/>
      <c r="F22" s="2935"/>
      <c r="G22" s="2935"/>
      <c r="H22" s="2935"/>
      <c r="I22" s="2935"/>
      <c r="J22" s="2935"/>
      <c r="K22" s="3026"/>
      <c r="L22" s="3026"/>
      <c r="M22" s="2929"/>
      <c r="N22" s="2929"/>
      <c r="O22" s="2929"/>
      <c r="P22" s="2929"/>
      <c r="Q22" s="2929"/>
      <c r="R22" s="2929"/>
      <c r="S22" s="2929"/>
      <c r="T22" s="2929"/>
      <c r="U22" s="2929"/>
      <c r="V22" s="2929"/>
      <c r="W22" s="2929"/>
      <c r="X22" s="2929"/>
      <c r="Y22" s="2929"/>
      <c r="Z22" s="2929"/>
      <c r="AA22" s="2929"/>
      <c r="AB22" s="2929"/>
      <c r="AC22" s="2929"/>
      <c r="AD22" s="2929"/>
      <c r="AE22" s="2929"/>
      <c r="AF22" s="2929"/>
      <c r="AG22" s="2929"/>
      <c r="AH22" s="2929"/>
      <c r="AI22" s="2929"/>
      <c r="AJ22" s="2929"/>
      <c r="AK22" s="2929"/>
      <c r="AL22" s="2929"/>
      <c r="AM22" s="2929"/>
      <c r="AN22" s="2929"/>
      <c r="AO22" s="2929"/>
      <c r="AP22" s="2929"/>
      <c r="AQ22" s="2929"/>
      <c r="AR22" s="2929"/>
    </row>
    <row r="23" spans="1:67" ht="14.4">
      <c r="A23" s="3034" t="s">
        <v>1661</v>
      </c>
      <c r="B23" s="3035">
        <f>B19+B21</f>
        <v>0.94</v>
      </c>
      <c r="C23" s="2935"/>
      <c r="D23" s="2935"/>
      <c r="E23" s="2935"/>
      <c r="F23" s="2935"/>
      <c r="G23" s="2935"/>
      <c r="H23" s="2935"/>
      <c r="I23" s="2935"/>
      <c r="J23" s="2935"/>
      <c r="K23" s="3026"/>
      <c r="L23" s="3026"/>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row>
    <row r="24" spans="1:67" ht="15" thickBot="1">
      <c r="A24" s="3036" t="s">
        <v>1662</v>
      </c>
      <c r="B24" s="3037">
        <f>B20-B21</f>
        <v>1.06</v>
      </c>
      <c r="C24" s="2935"/>
      <c r="D24" s="2935"/>
      <c r="E24" s="2935"/>
      <c r="F24" s="2935"/>
      <c r="G24" s="2935"/>
      <c r="H24" s="2935"/>
      <c r="I24" s="2935"/>
      <c r="J24" s="2935"/>
      <c r="K24" s="3026"/>
      <c r="L24" s="3026"/>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c r="AL24" s="2929"/>
      <c r="AM24" s="2929"/>
      <c r="AN24" s="2929"/>
      <c r="AO24" s="2929"/>
      <c r="AP24" s="2929"/>
      <c r="AQ24" s="2929"/>
      <c r="AR24" s="2929"/>
    </row>
    <row r="25" spans="1:67" ht="14.4" thickBot="1">
      <c r="A25" s="2938"/>
      <c r="B25" s="2939"/>
      <c r="C25" s="2935"/>
      <c r="D25" s="2935"/>
      <c r="E25" s="2935"/>
      <c r="F25" s="2935"/>
      <c r="G25" s="2935"/>
      <c r="H25" s="2935"/>
      <c r="I25" s="2935"/>
      <c r="J25" s="2935"/>
      <c r="K25" s="3026"/>
      <c r="L25" s="3026"/>
      <c r="M25" s="2929"/>
      <c r="N25" s="2929"/>
      <c r="O25" s="2929"/>
      <c r="P25" s="2929"/>
      <c r="Q25" s="2929"/>
      <c r="R25" s="2929"/>
      <c r="S25" s="2929"/>
      <c r="T25" s="2929"/>
      <c r="U25" s="2929"/>
      <c r="V25" s="2929"/>
      <c r="W25" s="2929"/>
      <c r="X25" s="2929"/>
      <c r="Y25" s="2929"/>
      <c r="Z25" s="2929"/>
      <c r="AA25" s="2929"/>
      <c r="AB25" s="2929"/>
      <c r="AC25" s="2929"/>
      <c r="AD25" s="2929"/>
      <c r="AE25" s="2929"/>
      <c r="AF25" s="2929"/>
      <c r="AG25" s="2929"/>
      <c r="AH25" s="2929"/>
      <c r="AI25" s="2929"/>
      <c r="AJ25" s="2929"/>
      <c r="AK25" s="2929"/>
      <c r="AL25" s="2929"/>
      <c r="AM25" s="2929"/>
      <c r="AN25" s="2929"/>
      <c r="AO25" s="2929"/>
      <c r="AP25" s="2929"/>
      <c r="AQ25" s="2929"/>
      <c r="AR25" s="2929"/>
    </row>
    <row r="26" spans="1:67" ht="15" thickBot="1">
      <c r="A26" s="2932" t="s">
        <v>1663</v>
      </c>
      <c r="B26" s="3038" t="s">
        <v>1664</v>
      </c>
      <c r="C26" s="3039" t="s">
        <v>1665</v>
      </c>
      <c r="D26" s="2935"/>
      <c r="E26" s="2935"/>
      <c r="F26" s="2935"/>
      <c r="G26" s="2935"/>
      <c r="H26" s="2935"/>
      <c r="I26" s="2935"/>
      <c r="J26" s="2935"/>
      <c r="K26" s="3026"/>
      <c r="L26" s="3026"/>
      <c r="M26" s="2929"/>
      <c r="N26" s="2929"/>
      <c r="O26" s="2929"/>
      <c r="P26" s="2929"/>
      <c r="Q26" s="2929"/>
      <c r="R26" s="2929"/>
      <c r="S26" s="2929"/>
      <c r="T26" s="2929"/>
      <c r="U26" s="2929"/>
      <c r="V26" s="2929"/>
      <c r="W26" s="2929"/>
      <c r="X26" s="2929"/>
      <c r="Y26" s="2929"/>
      <c r="Z26" s="2929"/>
      <c r="AA26" s="2929"/>
      <c r="AB26" s="2929"/>
      <c r="AC26" s="2929"/>
      <c r="AD26" s="2929"/>
      <c r="AE26" s="2929"/>
      <c r="AF26" s="2929"/>
      <c r="AG26" s="2929"/>
      <c r="AH26" s="2929"/>
      <c r="AI26" s="2929"/>
      <c r="AJ26" s="2929"/>
      <c r="AK26" s="2929"/>
      <c r="AL26" s="2929"/>
      <c r="AM26" s="2929"/>
      <c r="AN26" s="2929"/>
      <c r="AO26" s="2929"/>
      <c r="AP26" s="2929"/>
      <c r="AQ26" s="2929"/>
      <c r="AR26" s="2929"/>
    </row>
    <row r="27" spans="1:67" s="3045" customFormat="1" ht="28.8">
      <c r="A27" s="3040" t="s">
        <v>1666</v>
      </c>
      <c r="B27" s="3041">
        <v>160</v>
      </c>
      <c r="C27" s="3042" t="s">
        <v>2802</v>
      </c>
      <c r="D27" s="3043"/>
      <c r="E27" s="3043"/>
      <c r="F27" s="3043"/>
      <c r="G27" s="2935"/>
      <c r="H27" s="2935"/>
      <c r="I27" s="2935"/>
      <c r="J27" s="2935"/>
      <c r="K27" s="3026"/>
      <c r="L27" s="3026"/>
      <c r="M27" s="2929"/>
      <c r="N27" s="2929"/>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3044"/>
      <c r="AT27" s="3044"/>
      <c r="AU27" s="3044"/>
      <c r="AV27" s="3044"/>
      <c r="AW27" s="3044"/>
      <c r="AX27" s="3044"/>
      <c r="AY27" s="3044"/>
      <c r="AZ27" s="3044"/>
      <c r="BA27" s="3044"/>
      <c r="BB27" s="3044"/>
      <c r="BC27" s="3044"/>
      <c r="BD27" s="3044"/>
      <c r="BE27" s="3044"/>
      <c r="BF27" s="3044"/>
      <c r="BG27" s="3044"/>
      <c r="BH27" s="3044"/>
      <c r="BI27" s="3044"/>
      <c r="BJ27" s="3044"/>
      <c r="BK27" s="3044"/>
      <c r="BL27" s="3044"/>
      <c r="BM27" s="3044"/>
      <c r="BN27" s="3044"/>
      <c r="BO27" s="3044"/>
    </row>
    <row r="28" spans="1:67" s="3045" customFormat="1" ht="28.8">
      <c r="A28" s="3046" t="s">
        <v>1667</v>
      </c>
      <c r="B28" s="3047">
        <v>200</v>
      </c>
      <c r="C28" s="3048"/>
      <c r="D28" s="3043"/>
      <c r="E28" s="3043"/>
      <c r="F28" s="3043"/>
      <c r="G28" s="2935"/>
      <c r="H28" s="2935"/>
      <c r="I28" s="2935"/>
      <c r="J28" s="2935"/>
      <c r="K28" s="3026"/>
      <c r="L28" s="3026"/>
      <c r="M28" s="2929"/>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3044"/>
      <c r="AT28" s="3044"/>
      <c r="AU28" s="3044"/>
      <c r="AV28" s="3044"/>
      <c r="AW28" s="3044"/>
      <c r="AX28" s="3044"/>
      <c r="AY28" s="3044"/>
      <c r="AZ28" s="3044"/>
      <c r="BA28" s="3044"/>
      <c r="BB28" s="3044"/>
      <c r="BC28" s="3044"/>
      <c r="BD28" s="3044"/>
      <c r="BE28" s="3044"/>
      <c r="BF28" s="3044"/>
      <c r="BG28" s="3044"/>
      <c r="BH28" s="3044"/>
      <c r="BI28" s="3044"/>
      <c r="BJ28" s="3044"/>
      <c r="BK28" s="3044"/>
      <c r="BL28" s="3044"/>
      <c r="BM28" s="3044"/>
      <c r="BN28" s="3044"/>
      <c r="BO28" s="3044"/>
    </row>
    <row r="29" spans="1:67" s="3045" customFormat="1" ht="29.4" thickBot="1">
      <c r="A29" s="3049" t="s">
        <v>1668</v>
      </c>
      <c r="B29" s="3050">
        <f ca="1">成本法!C9+成本法!C10</f>
        <v>2148</v>
      </c>
      <c r="C29" s="3051" t="s">
        <v>2789</v>
      </c>
      <c r="D29" s="3043"/>
      <c r="E29" s="3043"/>
      <c r="F29" s="3043"/>
      <c r="G29" s="2935"/>
      <c r="H29" s="2935"/>
      <c r="I29" s="2935"/>
      <c r="J29" s="2935"/>
      <c r="K29" s="3026"/>
      <c r="L29" s="3026"/>
      <c r="M29" s="2929"/>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29"/>
      <c r="AO29" s="2929"/>
      <c r="AP29" s="2929"/>
      <c r="AQ29" s="2929"/>
      <c r="AR29" s="2929"/>
      <c r="AS29" s="3044"/>
      <c r="AT29" s="3044"/>
      <c r="AU29" s="3044"/>
      <c r="AV29" s="3044"/>
      <c r="AW29" s="3044"/>
      <c r="AX29" s="3044"/>
      <c r="AY29" s="3044"/>
      <c r="AZ29" s="3044"/>
      <c r="BA29" s="3044"/>
      <c r="BB29" s="3044"/>
      <c r="BC29" s="3044"/>
      <c r="BD29" s="3044"/>
      <c r="BE29" s="3044"/>
      <c r="BF29" s="3044"/>
      <c r="BG29" s="3044"/>
      <c r="BH29" s="3044"/>
      <c r="BI29" s="3044"/>
      <c r="BJ29" s="3044"/>
      <c r="BK29" s="3044"/>
      <c r="BL29" s="3044"/>
      <c r="BM29" s="3044"/>
      <c r="BN29" s="3044"/>
      <c r="BO29" s="3044"/>
    </row>
    <row r="30" spans="1:67" s="3045" customFormat="1" ht="28.8">
      <c r="A30" s="3052" t="s">
        <v>1669</v>
      </c>
      <c r="B30" s="3053">
        <v>200</v>
      </c>
      <c r="C30" s="3048"/>
      <c r="D30" s="3043"/>
      <c r="E30" s="3043"/>
      <c r="F30" s="3043"/>
      <c r="G30" s="2935"/>
      <c r="H30" s="2935"/>
      <c r="I30" s="2935"/>
      <c r="J30" s="2935"/>
      <c r="K30" s="3026"/>
      <c r="L30" s="3026"/>
      <c r="M30" s="2929"/>
      <c r="N30" s="2929"/>
      <c r="O30" s="2929"/>
      <c r="P30" s="2929"/>
      <c r="Q30" s="2929"/>
      <c r="R30" s="2929"/>
      <c r="S30" s="2929"/>
      <c r="T30" s="2929"/>
      <c r="U30" s="2929"/>
      <c r="V30" s="2929"/>
      <c r="W30" s="2929"/>
      <c r="X30" s="2929"/>
      <c r="Y30" s="2929"/>
      <c r="Z30" s="2929"/>
      <c r="AA30" s="2929"/>
      <c r="AB30" s="2929"/>
      <c r="AC30" s="2929"/>
      <c r="AD30" s="2929"/>
      <c r="AE30" s="2929"/>
      <c r="AF30" s="2929"/>
      <c r="AG30" s="2929"/>
      <c r="AH30" s="2929"/>
      <c r="AI30" s="2929"/>
      <c r="AJ30" s="2929"/>
      <c r="AK30" s="2929"/>
      <c r="AL30" s="2929"/>
      <c r="AM30" s="2929"/>
      <c r="AN30" s="2929"/>
      <c r="AO30" s="2929"/>
      <c r="AP30" s="2929"/>
      <c r="AQ30" s="2929"/>
      <c r="AR30" s="2929"/>
      <c r="AS30" s="3044"/>
      <c r="AT30" s="3044"/>
      <c r="AU30" s="3044"/>
      <c r="AV30" s="3044"/>
      <c r="AW30" s="3044"/>
      <c r="AX30" s="3044"/>
      <c r="AY30" s="3044"/>
      <c r="AZ30" s="3044"/>
      <c r="BA30" s="3044"/>
      <c r="BB30" s="3044"/>
      <c r="BC30" s="3044"/>
      <c r="BD30" s="3044"/>
      <c r="BE30" s="3044"/>
      <c r="BF30" s="3044"/>
      <c r="BG30" s="3044"/>
      <c r="BH30" s="3044"/>
      <c r="BI30" s="3044"/>
      <c r="BJ30" s="3044"/>
      <c r="BK30" s="3044"/>
      <c r="BL30" s="3044"/>
      <c r="BM30" s="3044"/>
      <c r="BN30" s="3044"/>
      <c r="BO30" s="3044"/>
    </row>
    <row r="31" spans="1:67" s="3045" customFormat="1" ht="28.8">
      <c r="A31" s="3046" t="s">
        <v>1670</v>
      </c>
      <c r="B31" s="3035">
        <f>B30-B32</f>
        <v>200</v>
      </c>
      <c r="C31" s="3054"/>
      <c r="D31" s="3043"/>
      <c r="E31" s="3043"/>
      <c r="F31" s="3043"/>
      <c r="G31" s="2935"/>
      <c r="H31" s="2935"/>
      <c r="I31" s="2935"/>
      <c r="J31" s="2935"/>
      <c r="K31" s="3026"/>
      <c r="L31" s="3026"/>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3044"/>
      <c r="AT31" s="3044"/>
      <c r="AU31" s="3044"/>
      <c r="AV31" s="3044"/>
      <c r="AW31" s="3044"/>
      <c r="AX31" s="3044"/>
      <c r="AY31" s="3044"/>
      <c r="AZ31" s="3044"/>
      <c r="BA31" s="3044"/>
      <c r="BB31" s="3044"/>
      <c r="BC31" s="3044"/>
      <c r="BD31" s="3044"/>
      <c r="BE31" s="3044"/>
      <c r="BF31" s="3044"/>
      <c r="BG31" s="3044"/>
      <c r="BH31" s="3044"/>
      <c r="BI31" s="3044"/>
      <c r="BJ31" s="3044"/>
      <c r="BK31" s="3044"/>
      <c r="BL31" s="3044"/>
      <c r="BM31" s="3044"/>
      <c r="BN31" s="3044"/>
      <c r="BO31" s="3044"/>
    </row>
    <row r="32" spans="1:67" s="3045" customFormat="1" ht="29.4" thickBot="1">
      <c r="A32" s="3055" t="s">
        <v>1671</v>
      </c>
      <c r="B32" s="3056">
        <v>0</v>
      </c>
      <c r="C32" s="3048"/>
      <c r="D32" s="2935"/>
      <c r="E32" s="2935"/>
      <c r="F32" s="2935"/>
      <c r="G32" s="2935"/>
      <c r="H32" s="2935"/>
      <c r="I32" s="2935"/>
      <c r="J32" s="2935"/>
      <c r="K32" s="3026"/>
      <c r="L32" s="3026"/>
      <c r="M32" s="2929"/>
      <c r="N32" s="2929"/>
      <c r="O32" s="2929"/>
      <c r="P32" s="2929"/>
      <c r="Q32" s="2929"/>
      <c r="R32" s="2929"/>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3044"/>
      <c r="AT32" s="3044"/>
      <c r="AU32" s="3044"/>
      <c r="AV32" s="3044"/>
      <c r="AW32" s="3044"/>
      <c r="AX32" s="3044"/>
      <c r="AY32" s="3044"/>
      <c r="AZ32" s="3044"/>
      <c r="BA32" s="3044"/>
      <c r="BB32" s="3044"/>
      <c r="BC32" s="3044"/>
      <c r="BD32" s="3044"/>
      <c r="BE32" s="3044"/>
      <c r="BF32" s="3044"/>
      <c r="BG32" s="3044"/>
      <c r="BH32" s="3044"/>
      <c r="BI32" s="3044"/>
      <c r="BJ32" s="3044"/>
      <c r="BK32" s="3044"/>
      <c r="BL32" s="3044"/>
      <c r="BM32" s="3044"/>
      <c r="BN32" s="3044"/>
      <c r="BO32" s="3044"/>
    </row>
    <row r="33" spans="1:67" s="3045" customFormat="1" ht="14.4">
      <c r="A33" s="3040" t="s">
        <v>1672</v>
      </c>
      <c r="B33" s="3594">
        <v>0.03</v>
      </c>
      <c r="C33" s="3057" t="s">
        <v>2790</v>
      </c>
      <c r="D33" s="2935"/>
      <c r="E33" s="2935"/>
      <c r="F33" s="2935"/>
      <c r="G33" s="2935"/>
      <c r="H33" s="2935"/>
      <c r="I33" s="2935"/>
      <c r="J33" s="2935"/>
      <c r="K33" s="3026"/>
      <c r="L33" s="3026"/>
      <c r="M33" s="2929"/>
      <c r="N33" s="2929"/>
      <c r="O33" s="2929"/>
      <c r="P33" s="2929"/>
      <c r="Q33" s="2929"/>
      <c r="R33" s="2929"/>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3044"/>
      <c r="AT33" s="3044"/>
      <c r="AU33" s="3044"/>
      <c r="AV33" s="3044"/>
      <c r="AW33" s="3044"/>
      <c r="AX33" s="3044"/>
      <c r="AY33" s="3044"/>
      <c r="AZ33" s="3044"/>
      <c r="BA33" s="3044"/>
      <c r="BB33" s="3044"/>
      <c r="BC33" s="3044"/>
      <c r="BD33" s="3044"/>
      <c r="BE33" s="3044"/>
      <c r="BF33" s="3044"/>
      <c r="BG33" s="3044"/>
      <c r="BH33" s="3044"/>
      <c r="BI33" s="3044"/>
      <c r="BJ33" s="3044"/>
      <c r="BK33" s="3044"/>
      <c r="BL33" s="3044"/>
      <c r="BM33" s="3044"/>
      <c r="BN33" s="3044"/>
      <c r="BO33" s="3044"/>
    </row>
    <row r="34" spans="1:67" s="3045" customFormat="1" ht="14.4">
      <c r="A34" s="3046" t="s">
        <v>1673</v>
      </c>
      <c r="B34" s="3595">
        <v>0.03</v>
      </c>
      <c r="C34" s="3057" t="s">
        <v>2791</v>
      </c>
      <c r="D34" s="3058" t="s">
        <v>2799</v>
      </c>
      <c r="E34" s="3025"/>
      <c r="F34" s="2935"/>
      <c r="G34" s="2935"/>
      <c r="H34" s="2935"/>
      <c r="I34" s="2935"/>
      <c r="J34" s="2935"/>
      <c r="K34" s="3026"/>
      <c r="L34" s="3026"/>
      <c r="M34" s="2929"/>
      <c r="N34" s="2929"/>
      <c r="O34" s="2929"/>
      <c r="P34" s="2929"/>
      <c r="Q34" s="2929"/>
      <c r="R34" s="2929"/>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3044"/>
      <c r="AT34" s="3044"/>
      <c r="AU34" s="3044"/>
      <c r="AV34" s="3044"/>
      <c r="AW34" s="3044"/>
      <c r="AX34" s="3044"/>
      <c r="AY34" s="3044"/>
      <c r="AZ34" s="3044"/>
      <c r="BA34" s="3044"/>
      <c r="BB34" s="3044"/>
      <c r="BC34" s="3044"/>
      <c r="BD34" s="3044"/>
      <c r="BE34" s="3044"/>
      <c r="BF34" s="3044"/>
      <c r="BG34" s="3044"/>
      <c r="BH34" s="3044"/>
      <c r="BI34" s="3044"/>
      <c r="BJ34" s="3044"/>
      <c r="BK34" s="3044"/>
      <c r="BL34" s="3044"/>
      <c r="BM34" s="3044"/>
      <c r="BN34" s="3044"/>
      <c r="BO34" s="3044"/>
    </row>
    <row r="35" spans="1:67" s="3045" customFormat="1" ht="14.4">
      <c r="A35" s="3046" t="s">
        <v>1674</v>
      </c>
      <c r="B35" s="3047">
        <f>B30</f>
        <v>200</v>
      </c>
      <c r="C35" s="3057" t="s">
        <v>2792</v>
      </c>
      <c r="D35" s="3043"/>
      <c r="E35" s="3043"/>
      <c r="F35" s="3043"/>
      <c r="G35" s="2935"/>
      <c r="H35" s="2935"/>
      <c r="I35" s="2935"/>
      <c r="J35" s="2935"/>
      <c r="K35" s="3026"/>
      <c r="L35" s="3026"/>
      <c r="M35" s="2929"/>
      <c r="N35" s="2929"/>
      <c r="O35" s="2929"/>
      <c r="P35" s="2929"/>
      <c r="Q35" s="2929"/>
      <c r="R35" s="2929"/>
      <c r="S35" s="2929"/>
      <c r="T35" s="2929"/>
      <c r="U35" s="2929"/>
      <c r="V35" s="2929"/>
      <c r="W35" s="2929"/>
      <c r="X35" s="2929"/>
      <c r="Y35" s="2929"/>
      <c r="Z35" s="2929"/>
      <c r="AA35" s="2929"/>
      <c r="AB35" s="2929"/>
      <c r="AC35" s="2929"/>
      <c r="AD35" s="2929"/>
      <c r="AE35" s="2929"/>
      <c r="AF35" s="2929"/>
      <c r="AG35" s="2929"/>
      <c r="AH35" s="2929"/>
      <c r="AI35" s="2929"/>
      <c r="AJ35" s="2929"/>
      <c r="AK35" s="2929"/>
      <c r="AL35" s="2929"/>
      <c r="AM35" s="2929"/>
      <c r="AN35" s="2929"/>
      <c r="AO35" s="2929"/>
      <c r="AP35" s="2929"/>
      <c r="AQ35" s="2929"/>
      <c r="AR35" s="2929"/>
      <c r="AS35" s="3044"/>
      <c r="AT35" s="3044"/>
      <c r="AU35" s="3044"/>
      <c r="AV35" s="3044"/>
      <c r="AW35" s="3044"/>
      <c r="AX35" s="3044"/>
      <c r="AY35" s="3044"/>
      <c r="AZ35" s="3044"/>
      <c r="BA35" s="3044"/>
      <c r="BB35" s="3044"/>
      <c r="BC35" s="3044"/>
      <c r="BD35" s="3044"/>
      <c r="BE35" s="3044"/>
      <c r="BF35" s="3044"/>
      <c r="BG35" s="3044"/>
      <c r="BH35" s="3044"/>
      <c r="BI35" s="3044"/>
      <c r="BJ35" s="3044"/>
      <c r="BK35" s="3044"/>
      <c r="BL35" s="3044"/>
      <c r="BM35" s="3044"/>
      <c r="BN35" s="3044"/>
      <c r="BO35" s="3044"/>
    </row>
    <row r="36" spans="1:67" ht="15" thickBot="1">
      <c r="A36" s="3049" t="s">
        <v>1675</v>
      </c>
      <c r="B36" s="3582">
        <v>1.4999999999999999E-2</v>
      </c>
      <c r="C36" s="3057" t="s">
        <v>2793</v>
      </c>
      <c r="D36" s="2935"/>
      <c r="E36" s="2935"/>
      <c r="F36" s="2935"/>
      <c r="G36" s="2935"/>
      <c r="H36" s="2935"/>
      <c r="I36" s="2935"/>
      <c r="J36" s="2935"/>
      <c r="K36" s="3026"/>
      <c r="L36" s="3026"/>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c r="AO36" s="2929"/>
      <c r="AP36" s="2929"/>
      <c r="AQ36" s="2929"/>
      <c r="AR36" s="2929"/>
    </row>
    <row r="37" spans="1:67" ht="14.4">
      <c r="A37" s="3052" t="s">
        <v>1676</v>
      </c>
      <c r="B37" s="3583">
        <v>0.02</v>
      </c>
      <c r="C37" s="3057" t="s">
        <v>2794</v>
      </c>
      <c r="D37" s="2935"/>
      <c r="E37" s="2935"/>
      <c r="F37" s="2935"/>
      <c r="G37" s="2935"/>
      <c r="H37" s="2935"/>
      <c r="I37" s="2935"/>
      <c r="J37" s="2935"/>
      <c r="K37" s="3026"/>
      <c r="L37" s="3026"/>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row>
    <row r="38" spans="1:67" ht="14.4">
      <c r="A38" s="3046" t="s">
        <v>1677</v>
      </c>
      <c r="B38" s="3584">
        <v>0.02</v>
      </c>
      <c r="C38" s="3057" t="s">
        <v>2794</v>
      </c>
      <c r="D38" s="2935"/>
      <c r="E38" s="2935"/>
      <c r="F38" s="2935"/>
      <c r="G38" s="2935"/>
      <c r="H38" s="2935"/>
      <c r="I38" s="2935"/>
      <c r="J38" s="2935"/>
      <c r="K38" s="3026"/>
      <c r="L38" s="3026"/>
      <c r="M38" s="2929"/>
      <c r="N38" s="2929"/>
      <c r="O38" s="2929"/>
      <c r="P38" s="2929"/>
      <c r="Q38" s="2929"/>
      <c r="R38" s="2929"/>
      <c r="S38" s="2929"/>
      <c r="T38" s="2929"/>
      <c r="U38" s="2929"/>
      <c r="V38" s="2929"/>
      <c r="W38" s="2929"/>
      <c r="X38" s="2929"/>
      <c r="Y38" s="2929"/>
      <c r="Z38" s="2929"/>
      <c r="AA38" s="2929"/>
      <c r="AB38" s="2929"/>
      <c r="AC38" s="2929"/>
      <c r="AD38" s="2929"/>
      <c r="AE38" s="2929"/>
      <c r="AF38" s="2929"/>
      <c r="AG38" s="2929"/>
      <c r="AH38" s="2929"/>
      <c r="AI38" s="2929"/>
      <c r="AJ38" s="2929"/>
      <c r="AK38" s="2929"/>
      <c r="AL38" s="2929"/>
      <c r="AM38" s="2929"/>
      <c r="AN38" s="2929"/>
      <c r="AO38" s="2929"/>
      <c r="AP38" s="2929"/>
      <c r="AQ38" s="2929"/>
      <c r="AR38" s="2929"/>
    </row>
    <row r="39" spans="1:67" ht="14.4">
      <c r="A39" s="3055" t="s">
        <v>1678</v>
      </c>
      <c r="B39" s="3585">
        <f ca="1">存贷款利率!I1</f>
        <v>1.4999999999999999E-2</v>
      </c>
      <c r="C39" s="3060"/>
      <c r="D39" s="2935"/>
      <c r="E39" s="2935"/>
      <c r="F39" s="2935"/>
      <c r="G39" s="2935"/>
      <c r="H39" s="2935"/>
      <c r="I39" s="2935"/>
      <c r="J39" s="2935"/>
      <c r="K39" s="3026"/>
      <c r="L39" s="3026"/>
      <c r="M39" s="2929"/>
      <c r="N39" s="2929"/>
      <c r="O39" s="2929"/>
      <c r="P39" s="2929"/>
      <c r="Q39" s="2929"/>
      <c r="R39" s="2929"/>
      <c r="S39" s="2929"/>
      <c r="T39" s="2929"/>
      <c r="U39" s="2929"/>
      <c r="V39" s="2929"/>
      <c r="W39" s="2929"/>
      <c r="X39" s="2929"/>
      <c r="Y39" s="2929"/>
      <c r="Z39" s="2929"/>
      <c r="AA39" s="2929"/>
      <c r="AB39" s="2929"/>
      <c r="AC39" s="2929"/>
      <c r="AD39" s="2929"/>
      <c r="AE39" s="2929"/>
      <c r="AF39" s="2929"/>
      <c r="AG39" s="2929"/>
      <c r="AH39" s="2929"/>
      <c r="AI39" s="2929"/>
      <c r="AJ39" s="2929"/>
      <c r="AK39" s="2929"/>
      <c r="AL39" s="2929"/>
      <c r="AM39" s="2929"/>
      <c r="AN39" s="2929"/>
      <c r="AO39" s="2929"/>
      <c r="AP39" s="2929"/>
      <c r="AQ39" s="2929"/>
      <c r="AR39" s="2929"/>
    </row>
    <row r="40" spans="1:67" ht="28.2" thickBot="1">
      <c r="A40" s="3061" t="s">
        <v>3585</v>
      </c>
      <c r="B40" s="3585">
        <f ca="1">IF(A40="利息：取LPR",存贷款利率!G1,存贷款利率!G1+C40)</f>
        <v>4.2000000000000003E-2</v>
      </c>
      <c r="C40" s="3062">
        <v>5.0000000000000001E-3</v>
      </c>
      <c r="D40" s="2929"/>
      <c r="E40" s="2935"/>
      <c r="F40" s="2935"/>
      <c r="G40" s="2935"/>
      <c r="H40" s="2935"/>
      <c r="I40" s="2935"/>
      <c r="J40" s="2935"/>
      <c r="K40" s="3026"/>
      <c r="L40" s="3026"/>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2929"/>
      <c r="AN40" s="2929"/>
      <c r="AO40" s="2929"/>
      <c r="AP40" s="2929"/>
      <c r="AQ40" s="2929"/>
      <c r="AR40" s="2929"/>
    </row>
    <row r="41" spans="1:67" ht="14.4">
      <c r="A41" s="3040" t="s">
        <v>1679</v>
      </c>
      <c r="B41" s="3586">
        <f>B42+B43</f>
        <v>5.6000000000000001E-2</v>
      </c>
      <c r="C41" s="3054"/>
      <c r="D41" s="2929"/>
      <c r="E41" s="2935"/>
      <c r="F41" s="2935"/>
      <c r="G41" s="2935"/>
      <c r="H41" s="2935"/>
      <c r="I41" s="2935"/>
      <c r="J41" s="2935"/>
      <c r="K41" s="3026"/>
      <c r="L41" s="3026"/>
      <c r="M41" s="2929"/>
      <c r="N41" s="2929"/>
      <c r="O41" s="2929"/>
      <c r="P41" s="2929"/>
      <c r="Q41" s="2929"/>
      <c r="R41" s="2929"/>
      <c r="S41" s="2929"/>
      <c r="T41" s="2929"/>
      <c r="U41" s="2929"/>
      <c r="V41" s="2929"/>
      <c r="W41" s="2929"/>
      <c r="X41" s="2929"/>
      <c r="Y41" s="2929"/>
      <c r="Z41" s="2929"/>
      <c r="AA41" s="2929"/>
      <c r="AB41" s="2929"/>
      <c r="AC41" s="2929"/>
      <c r="AD41" s="2929"/>
      <c r="AE41" s="2929"/>
      <c r="AF41" s="2929"/>
      <c r="AG41" s="2929"/>
      <c r="AH41" s="2929"/>
      <c r="AI41" s="2929"/>
      <c r="AJ41" s="2929"/>
      <c r="AK41" s="2929"/>
      <c r="AL41" s="2929"/>
      <c r="AM41" s="2929"/>
      <c r="AN41" s="2929"/>
      <c r="AO41" s="2929"/>
      <c r="AP41" s="2929"/>
      <c r="AQ41" s="2929"/>
      <c r="AR41" s="2929"/>
    </row>
    <row r="42" spans="1:67" ht="14.4">
      <c r="A42" s="3063" t="s">
        <v>1680</v>
      </c>
      <c r="B42" s="3587">
        <v>0.05</v>
      </c>
      <c r="C42" s="3064">
        <f>IF(B2&lt;DATE(2016,5,1),0,B42)</f>
        <v>0.05</v>
      </c>
      <c r="D42" s="2935"/>
      <c r="E42" s="2935"/>
      <c r="F42" s="2935"/>
      <c r="G42" s="2935"/>
      <c r="H42" s="2935"/>
      <c r="I42" s="2935"/>
      <c r="J42" s="2935"/>
      <c r="K42" s="3026"/>
      <c r="L42" s="3026"/>
      <c r="M42" s="2929"/>
      <c r="N42" s="2929"/>
      <c r="O42" s="2929"/>
      <c r="P42" s="2929"/>
      <c r="Q42" s="2929"/>
      <c r="R42" s="2929"/>
      <c r="S42" s="2929"/>
      <c r="T42" s="2929"/>
      <c r="U42" s="2929"/>
      <c r="V42" s="2929"/>
      <c r="W42" s="2929"/>
      <c r="X42" s="2929"/>
      <c r="Y42" s="2929"/>
      <c r="Z42" s="2929"/>
      <c r="AA42" s="2929"/>
      <c r="AB42" s="2929"/>
      <c r="AC42" s="2929"/>
      <c r="AD42" s="2929"/>
      <c r="AE42" s="2929"/>
      <c r="AF42" s="2929"/>
      <c r="AG42" s="2929"/>
      <c r="AH42" s="2929"/>
      <c r="AI42" s="2929"/>
      <c r="AJ42" s="2929"/>
      <c r="AK42" s="2929"/>
      <c r="AL42" s="2929"/>
      <c r="AM42" s="2929"/>
      <c r="AN42" s="2929"/>
      <c r="AO42" s="2929"/>
      <c r="AP42" s="2929"/>
      <c r="AQ42" s="2929"/>
      <c r="AR42" s="2929"/>
    </row>
    <row r="43" spans="1:67" ht="14.4">
      <c r="A43" s="3063" t="s">
        <v>1681</v>
      </c>
      <c r="B43" s="3588">
        <f>B42*(B44+B45+B46)+B47</f>
        <v>6.000000000000001E-3</v>
      </c>
      <c r="C43" s="3054"/>
      <c r="D43" s="2935"/>
      <c r="E43" s="2935"/>
      <c r="F43" s="2935"/>
      <c r="G43" s="2935"/>
      <c r="H43" s="2935"/>
      <c r="I43" s="2935"/>
      <c r="J43" s="2935"/>
      <c r="K43" s="3026"/>
      <c r="L43" s="3026"/>
      <c r="M43" s="2929"/>
      <c r="N43" s="2929"/>
      <c r="O43" s="2929"/>
      <c r="P43" s="2929"/>
      <c r="Q43" s="2929"/>
      <c r="R43" s="2929"/>
      <c r="S43" s="2929"/>
      <c r="T43" s="2929"/>
      <c r="U43" s="2929"/>
      <c r="V43" s="2929"/>
      <c r="W43" s="2929"/>
      <c r="X43" s="2929"/>
      <c r="Y43" s="2929"/>
      <c r="Z43" s="2929"/>
      <c r="AA43" s="2929"/>
      <c r="AB43" s="2929"/>
      <c r="AC43" s="2929"/>
      <c r="AD43" s="2929"/>
      <c r="AE43" s="2929"/>
      <c r="AF43" s="2929"/>
      <c r="AG43" s="2929"/>
      <c r="AH43" s="2929"/>
      <c r="AI43" s="2929"/>
      <c r="AJ43" s="2929"/>
      <c r="AK43" s="2929"/>
      <c r="AL43" s="2929"/>
      <c r="AM43" s="2929"/>
      <c r="AN43" s="2929"/>
      <c r="AO43" s="2929"/>
      <c r="AP43" s="2929"/>
      <c r="AQ43" s="2929"/>
      <c r="AR43" s="2929"/>
    </row>
    <row r="44" spans="1:67" ht="14.4">
      <c r="A44" s="3066" t="s">
        <v>1682</v>
      </c>
      <c r="B44" s="3589">
        <v>7.0000000000000007E-2</v>
      </c>
      <c r="C44" s="3057" t="s">
        <v>2803</v>
      </c>
      <c r="D44" s="2935"/>
      <c r="E44" s="2935"/>
      <c r="F44" s="2935"/>
      <c r="G44" s="2935"/>
      <c r="H44" s="2935"/>
      <c r="I44" s="2935"/>
      <c r="J44" s="2935"/>
      <c r="K44" s="3026"/>
      <c r="L44" s="3026"/>
      <c r="M44" s="2929"/>
      <c r="N44" s="2929"/>
      <c r="O44" s="2929"/>
      <c r="P44" s="2929"/>
      <c r="Q44" s="2929"/>
      <c r="R44" s="2929"/>
      <c r="S44" s="2929"/>
      <c r="T44" s="2929"/>
      <c r="U44" s="2929"/>
      <c r="V44" s="2929"/>
      <c r="W44" s="2929"/>
      <c r="X44" s="2929"/>
      <c r="Y44" s="2929"/>
      <c r="Z44" s="2929"/>
      <c r="AA44" s="2929"/>
      <c r="AB44" s="2929"/>
      <c r="AC44" s="2929"/>
      <c r="AD44" s="2929"/>
      <c r="AE44" s="2929"/>
      <c r="AF44" s="2929"/>
      <c r="AG44" s="2929"/>
      <c r="AH44" s="2929"/>
      <c r="AI44" s="2929"/>
      <c r="AJ44" s="2929"/>
      <c r="AK44" s="2929"/>
      <c r="AL44" s="2929"/>
      <c r="AM44" s="2929"/>
      <c r="AN44" s="2929"/>
      <c r="AO44" s="2929"/>
      <c r="AP44" s="2929"/>
      <c r="AQ44" s="2929"/>
      <c r="AR44" s="2929"/>
    </row>
    <row r="45" spans="1:67" ht="14.4">
      <c r="A45" s="3066" t="s">
        <v>1683</v>
      </c>
      <c r="B45" s="3587">
        <v>0.03</v>
      </c>
      <c r="C45" s="3051" t="s">
        <v>2795</v>
      </c>
      <c r="D45" s="2935"/>
      <c r="E45" s="2935"/>
      <c r="F45" s="2935"/>
      <c r="G45" s="2935"/>
      <c r="H45" s="2935"/>
      <c r="I45" s="2935"/>
      <c r="J45" s="2935"/>
      <c r="K45" s="3026"/>
      <c r="L45" s="3026"/>
      <c r="M45" s="2929"/>
      <c r="N45" s="2929"/>
      <c r="O45" s="2929"/>
      <c r="P45" s="2929"/>
      <c r="Q45" s="2929"/>
      <c r="R45" s="2929"/>
      <c r="S45" s="2929"/>
      <c r="T45" s="2929"/>
      <c r="U45" s="2929"/>
      <c r="V45" s="2929"/>
      <c r="W45" s="2929"/>
      <c r="X45" s="2929"/>
      <c r="Y45" s="2929"/>
      <c r="Z45" s="2929"/>
      <c r="AA45" s="2929"/>
      <c r="AB45" s="2929"/>
      <c r="AC45" s="2929"/>
      <c r="AD45" s="2929"/>
      <c r="AE45" s="2929"/>
      <c r="AF45" s="2929"/>
      <c r="AG45" s="2929"/>
      <c r="AH45" s="2929"/>
      <c r="AI45" s="2929"/>
      <c r="AJ45" s="2929"/>
      <c r="AK45" s="2929"/>
      <c r="AL45" s="2929"/>
      <c r="AM45" s="2929"/>
      <c r="AN45" s="2929"/>
      <c r="AO45" s="2929"/>
      <c r="AP45" s="2929"/>
      <c r="AQ45" s="2929"/>
      <c r="AR45" s="2929"/>
    </row>
    <row r="46" spans="1:67" ht="14.4">
      <c r="A46" s="3066" t="s">
        <v>1684</v>
      </c>
      <c r="B46" s="3587">
        <v>0.02</v>
      </c>
      <c r="C46" s="3051" t="s">
        <v>2796</v>
      </c>
      <c r="D46" s="2935"/>
      <c r="E46" s="2935"/>
      <c r="F46" s="2935"/>
      <c r="G46" s="2935"/>
      <c r="H46" s="2935"/>
      <c r="I46" s="2935"/>
      <c r="J46" s="2935"/>
      <c r="K46" s="3026"/>
      <c r="L46" s="3026"/>
      <c r="M46" s="2929"/>
      <c r="N46" s="2929"/>
      <c r="O46" s="2929"/>
      <c r="P46" s="2929"/>
      <c r="Q46" s="2929"/>
      <c r="R46" s="2929"/>
      <c r="S46" s="2929"/>
      <c r="T46" s="2929"/>
      <c r="U46" s="2929"/>
      <c r="V46" s="2929"/>
      <c r="W46" s="2929"/>
      <c r="X46" s="2929"/>
      <c r="Y46" s="2929"/>
      <c r="Z46" s="2929"/>
      <c r="AA46" s="2929"/>
      <c r="AB46" s="2929"/>
      <c r="AC46" s="2929"/>
      <c r="AD46" s="2929"/>
      <c r="AE46" s="2929"/>
      <c r="AF46" s="2929"/>
      <c r="AG46" s="2929"/>
      <c r="AH46" s="2929"/>
      <c r="AI46" s="2929"/>
      <c r="AJ46" s="2929"/>
      <c r="AK46" s="2929"/>
      <c r="AL46" s="2929"/>
      <c r="AM46" s="2929"/>
      <c r="AN46" s="2929"/>
      <c r="AO46" s="2929"/>
      <c r="AP46" s="2929"/>
      <c r="AQ46" s="2929"/>
      <c r="AR46" s="2929"/>
    </row>
    <row r="47" spans="1:67" ht="15" thickBot="1">
      <c r="A47" s="3067" t="s">
        <v>1685</v>
      </c>
      <c r="B47" s="3590">
        <v>0</v>
      </c>
      <c r="C47" s="3069" t="s">
        <v>2804</v>
      </c>
      <c r="D47" s="2935"/>
      <c r="E47" s="2935"/>
      <c r="F47" s="2935"/>
      <c r="G47" s="2935"/>
      <c r="H47" s="2935"/>
      <c r="I47" s="2935"/>
      <c r="J47" s="2935"/>
      <c r="K47" s="3026"/>
      <c r="L47" s="3026"/>
      <c r="M47" s="2929"/>
      <c r="N47" s="2929"/>
      <c r="O47" s="2929"/>
      <c r="P47" s="2929"/>
      <c r="Q47" s="2929"/>
      <c r="R47" s="2929"/>
      <c r="S47" s="2929"/>
      <c r="T47" s="2929"/>
      <c r="U47" s="2929"/>
      <c r="V47" s="2929"/>
      <c r="W47" s="2929"/>
      <c r="X47" s="2929"/>
      <c r="Y47" s="2929"/>
      <c r="Z47" s="2929"/>
      <c r="AA47" s="2929"/>
      <c r="AB47" s="2929"/>
      <c r="AC47" s="2929"/>
      <c r="AD47" s="2929"/>
      <c r="AE47" s="2929"/>
      <c r="AF47" s="2929"/>
      <c r="AG47" s="2929"/>
      <c r="AH47" s="2929"/>
      <c r="AI47" s="2929"/>
      <c r="AJ47" s="2929"/>
      <c r="AK47" s="2929"/>
      <c r="AL47" s="2929"/>
      <c r="AM47" s="2929"/>
      <c r="AN47" s="2929"/>
      <c r="AO47" s="2929"/>
      <c r="AP47" s="2929"/>
      <c r="AQ47" s="2929"/>
      <c r="AR47" s="2929"/>
    </row>
    <row r="48" spans="1:67" ht="14.4">
      <c r="A48" s="3070" t="s">
        <v>1686</v>
      </c>
      <c r="B48" s="3591">
        <v>0.03</v>
      </c>
      <c r="C48" s="3051" t="s">
        <v>2795</v>
      </c>
      <c r="D48" s="2935"/>
      <c r="E48" s="2935"/>
      <c r="F48" s="2935"/>
      <c r="G48" s="2935"/>
      <c r="H48" s="2935"/>
      <c r="I48" s="2935"/>
      <c r="J48" s="2935"/>
      <c r="K48" s="3026"/>
      <c r="L48" s="3026"/>
      <c r="M48" s="2929"/>
      <c r="N48" s="2929"/>
      <c r="O48" s="2929"/>
      <c r="P48" s="2929"/>
      <c r="Q48" s="2929"/>
      <c r="R48" s="2929"/>
      <c r="S48" s="2929"/>
      <c r="T48" s="2929"/>
      <c r="U48" s="2929"/>
      <c r="V48" s="2929"/>
      <c r="W48" s="2929"/>
      <c r="X48" s="2929"/>
      <c r="Y48" s="2929"/>
      <c r="Z48" s="2929"/>
      <c r="AA48" s="2929"/>
      <c r="AB48" s="2929"/>
      <c r="AC48" s="2929"/>
      <c r="AD48" s="2929"/>
      <c r="AE48" s="2929"/>
      <c r="AF48" s="2929"/>
      <c r="AG48" s="2929"/>
      <c r="AH48" s="2929"/>
      <c r="AI48" s="2929"/>
      <c r="AJ48" s="2929"/>
      <c r="AK48" s="2929"/>
      <c r="AL48" s="2929"/>
      <c r="AM48" s="2929"/>
      <c r="AN48" s="2929"/>
      <c r="AO48" s="2929"/>
      <c r="AP48" s="2929"/>
      <c r="AQ48" s="2929"/>
      <c r="AR48" s="2929"/>
    </row>
    <row r="49" spans="1:44" ht="15" thickBot="1">
      <c r="A49" s="3055" t="s">
        <v>1687</v>
      </c>
      <c r="B49" s="3587">
        <v>5.0000000000000001E-4</v>
      </c>
      <c r="C49" s="3051" t="s">
        <v>2797</v>
      </c>
      <c r="D49" s="2935"/>
      <c r="E49" s="2935"/>
      <c r="F49" s="2935"/>
      <c r="G49" s="2935"/>
      <c r="H49" s="2935"/>
      <c r="I49" s="2935"/>
      <c r="J49" s="2935"/>
      <c r="K49" s="3026"/>
      <c r="L49" s="3026"/>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2929"/>
      <c r="AM49" s="2929"/>
      <c r="AN49" s="2929"/>
      <c r="AO49" s="2929"/>
      <c r="AP49" s="2929"/>
      <c r="AQ49" s="2929"/>
      <c r="AR49" s="2929"/>
    </row>
    <row r="50" spans="1:44" ht="14.4">
      <c r="A50" s="3071" t="s">
        <v>1688</v>
      </c>
      <c r="B50" s="3592">
        <v>1.2E-2</v>
      </c>
      <c r="C50" s="3043"/>
      <c r="D50" s="2935"/>
      <c r="E50" s="2935"/>
      <c r="F50" s="2935"/>
      <c r="G50" s="2935"/>
      <c r="H50" s="2935"/>
      <c r="I50" s="2935"/>
      <c r="J50" s="2935"/>
      <c r="K50" s="3026"/>
      <c r="L50" s="3026"/>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2929"/>
      <c r="AM50" s="2929"/>
      <c r="AN50" s="2929"/>
      <c r="AO50" s="2929"/>
      <c r="AP50" s="2929"/>
      <c r="AQ50" s="2929"/>
      <c r="AR50" s="2929"/>
    </row>
    <row r="51" spans="1:44" ht="15" thickBot="1">
      <c r="A51" s="3049" t="s">
        <v>1689</v>
      </c>
      <c r="B51" s="3593">
        <v>0.12</v>
      </c>
      <c r="C51" s="3043"/>
      <c r="D51" s="2935"/>
      <c r="E51" s="2935"/>
      <c r="F51" s="2935"/>
      <c r="G51" s="2935"/>
      <c r="H51" s="2935"/>
      <c r="I51" s="2935"/>
      <c r="J51" s="2935"/>
      <c r="K51" s="3026"/>
      <c r="L51" s="3026"/>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2929"/>
      <c r="AM51" s="2929"/>
      <c r="AN51" s="2929"/>
      <c r="AO51" s="2929"/>
      <c r="AP51" s="2929"/>
      <c r="AQ51" s="2929"/>
      <c r="AR51" s="2929"/>
    </row>
    <row r="52" spans="1:44" ht="14.4">
      <c r="A52" s="3071" t="s">
        <v>1690</v>
      </c>
      <c r="B52" s="3592">
        <f>SUMIF(A54:A63,B53,B54:B63)</f>
        <v>3</v>
      </c>
      <c r="C52" s="3043"/>
      <c r="D52" s="2935"/>
      <c r="E52" s="2935"/>
      <c r="F52" s="2935"/>
      <c r="G52" s="2935"/>
      <c r="H52" s="2935"/>
      <c r="I52" s="2935"/>
      <c r="J52" s="2935"/>
      <c r="K52" s="3026"/>
      <c r="L52" s="3026"/>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2929"/>
      <c r="AM52" s="2929"/>
      <c r="AN52" s="2929"/>
      <c r="AO52" s="2929"/>
      <c r="AP52" s="2929"/>
      <c r="AQ52" s="2929"/>
      <c r="AR52" s="2929"/>
    </row>
    <row r="53" spans="1:44" ht="28.8">
      <c r="A53" s="3046" t="s">
        <v>1691</v>
      </c>
      <c r="B53" s="3073" t="s">
        <v>522</v>
      </c>
      <c r="C53" s="3043" t="s">
        <v>1692</v>
      </c>
      <c r="D53" s="3074" t="s">
        <v>2801</v>
      </c>
      <c r="E53" s="2935"/>
      <c r="F53" s="2935"/>
      <c r="G53" s="2935"/>
      <c r="H53" s="2935"/>
      <c r="I53" s="2935"/>
      <c r="J53" s="2935"/>
      <c r="K53" s="3026"/>
      <c r="L53" s="3026"/>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2929"/>
      <c r="AM53" s="2929"/>
      <c r="AN53" s="2929"/>
      <c r="AO53" s="2929"/>
      <c r="AP53" s="2929"/>
      <c r="AQ53" s="2929"/>
      <c r="AR53" s="2929"/>
    </row>
    <row r="54" spans="1:44" ht="14.4">
      <c r="A54" s="3075" t="s">
        <v>1693</v>
      </c>
      <c r="B54" s="2987"/>
      <c r="C54" s="3043">
        <v>30</v>
      </c>
      <c r="D54" s="2935"/>
      <c r="E54" s="2935"/>
      <c r="F54" s="2935"/>
      <c r="G54" s="2935"/>
      <c r="H54" s="2935"/>
      <c r="I54" s="2935"/>
      <c r="J54" s="2935"/>
      <c r="K54" s="3026"/>
      <c r="L54" s="3026"/>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2929"/>
      <c r="AM54" s="2929"/>
      <c r="AN54" s="2929"/>
      <c r="AO54" s="2929"/>
      <c r="AP54" s="2929"/>
      <c r="AQ54" s="2929"/>
      <c r="AR54" s="2929"/>
    </row>
    <row r="55" spans="1:44" ht="14.4">
      <c r="A55" s="3075" t="s">
        <v>1694</v>
      </c>
      <c r="B55" s="2987"/>
      <c r="C55" s="3043">
        <v>24</v>
      </c>
      <c r="D55" s="2935"/>
      <c r="E55" s="2935"/>
      <c r="F55" s="2935"/>
      <c r="G55" s="2935"/>
      <c r="H55" s="2935"/>
      <c r="I55" s="3076"/>
      <c r="J55" s="2935"/>
      <c r="K55" s="3026"/>
      <c r="L55" s="3026"/>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2929"/>
      <c r="AM55" s="2929"/>
      <c r="AN55" s="2929"/>
      <c r="AO55" s="2929"/>
      <c r="AP55" s="2929"/>
      <c r="AQ55" s="2929"/>
      <c r="AR55" s="2929"/>
    </row>
    <row r="56" spans="1:44" ht="14.4">
      <c r="A56" s="3075" t="s">
        <v>1695</v>
      </c>
      <c r="B56" s="2987"/>
      <c r="C56" s="3043">
        <v>18</v>
      </c>
      <c r="D56" s="2935"/>
      <c r="E56" s="2935"/>
      <c r="F56" s="2935"/>
      <c r="G56" s="2935"/>
      <c r="H56" s="2935"/>
      <c r="I56" s="2935"/>
      <c r="J56" s="2935"/>
      <c r="K56" s="3026"/>
      <c r="L56" s="3026"/>
      <c r="M56" s="2929"/>
      <c r="N56" s="2929"/>
      <c r="O56" s="2929"/>
      <c r="P56" s="2929"/>
      <c r="Q56" s="2929"/>
      <c r="R56" s="2929"/>
      <c r="S56" s="2929"/>
      <c r="T56" s="2929"/>
      <c r="U56" s="2929"/>
      <c r="V56" s="2929"/>
      <c r="W56" s="2929"/>
      <c r="X56" s="2929"/>
      <c r="Y56" s="2929"/>
      <c r="Z56" s="2929"/>
      <c r="AA56" s="2929"/>
      <c r="AB56" s="2929"/>
      <c r="AC56" s="2929"/>
      <c r="AD56" s="2929"/>
      <c r="AE56" s="2929"/>
      <c r="AF56" s="2929"/>
      <c r="AG56" s="2929"/>
      <c r="AH56" s="2929"/>
      <c r="AI56" s="2929"/>
      <c r="AJ56" s="2929"/>
      <c r="AK56" s="2929"/>
      <c r="AL56" s="2929"/>
      <c r="AM56" s="2929"/>
      <c r="AN56" s="2929"/>
      <c r="AO56" s="2929"/>
      <c r="AP56" s="2929"/>
      <c r="AQ56" s="2929"/>
      <c r="AR56" s="2929"/>
    </row>
    <row r="57" spans="1:44" ht="14.4">
      <c r="A57" s="3075" t="s">
        <v>1696</v>
      </c>
      <c r="B57" s="2987"/>
      <c r="C57" s="3043">
        <v>12</v>
      </c>
      <c r="D57" s="2935"/>
      <c r="E57" s="2935"/>
      <c r="F57" s="2935"/>
      <c r="G57" s="2935"/>
      <c r="H57" s="2935"/>
      <c r="I57" s="2935"/>
      <c r="J57" s="2935"/>
      <c r="K57" s="3026"/>
      <c r="L57" s="3026"/>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2929"/>
      <c r="AM57" s="2929"/>
      <c r="AN57" s="2929"/>
      <c r="AO57" s="2929"/>
      <c r="AP57" s="2929"/>
      <c r="AQ57" s="2929"/>
      <c r="AR57" s="2929"/>
    </row>
    <row r="58" spans="1:44" ht="14.4">
      <c r="A58" s="3075" t="s">
        <v>1697</v>
      </c>
      <c r="B58" s="2987">
        <v>3</v>
      </c>
      <c r="C58" s="3043">
        <v>3</v>
      </c>
      <c r="D58" s="2935"/>
      <c r="E58" s="2935"/>
      <c r="F58" s="2935"/>
      <c r="G58" s="2935"/>
      <c r="H58" s="2935"/>
      <c r="I58" s="2935"/>
      <c r="J58" s="2935"/>
      <c r="K58" s="3026"/>
      <c r="L58" s="3026"/>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2929"/>
      <c r="AM58" s="2929"/>
      <c r="AN58" s="2929"/>
      <c r="AO58" s="2929"/>
      <c r="AP58" s="2929"/>
      <c r="AQ58" s="2929"/>
      <c r="AR58" s="2929"/>
    </row>
    <row r="59" spans="1:44" ht="14.4">
      <c r="A59" s="3075" t="s">
        <v>1698</v>
      </c>
      <c r="B59" s="2987"/>
      <c r="C59" s="3043">
        <v>1.5</v>
      </c>
      <c r="D59" s="2935"/>
      <c r="E59" s="2935"/>
      <c r="F59" s="2935"/>
      <c r="G59" s="2935"/>
      <c r="H59" s="2935"/>
      <c r="I59" s="2935"/>
      <c r="J59" s="2935"/>
      <c r="K59" s="3026"/>
      <c r="L59" s="3026"/>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2929"/>
      <c r="AM59" s="2929"/>
      <c r="AN59" s="2929"/>
      <c r="AO59" s="2929"/>
      <c r="AP59" s="2929"/>
      <c r="AQ59" s="2929"/>
      <c r="AR59" s="2929"/>
    </row>
    <row r="60" spans="1:44" ht="14.4">
      <c r="A60" s="3075" t="s">
        <v>1699</v>
      </c>
      <c r="B60" s="2987"/>
      <c r="C60" s="2935"/>
      <c r="D60" s="2935"/>
      <c r="E60" s="2935"/>
      <c r="F60" s="2935"/>
      <c r="G60" s="2935"/>
      <c r="H60" s="2935"/>
      <c r="I60" s="2935"/>
      <c r="J60" s="2935"/>
      <c r="K60" s="3026"/>
      <c r="L60" s="3026"/>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2929"/>
      <c r="AM60" s="2929"/>
      <c r="AN60" s="2929"/>
      <c r="AO60" s="2929"/>
      <c r="AP60" s="2929"/>
      <c r="AQ60" s="2929"/>
      <c r="AR60" s="2929"/>
    </row>
    <row r="61" spans="1:44" ht="14.4">
      <c r="A61" s="3075" t="s">
        <v>1700</v>
      </c>
      <c r="B61" s="2987"/>
      <c r="C61" s="2935"/>
      <c r="D61" s="2935"/>
      <c r="E61" s="2935"/>
      <c r="F61" s="2935"/>
      <c r="G61" s="2935"/>
      <c r="H61" s="2935"/>
      <c r="I61" s="2935"/>
      <c r="J61" s="2935"/>
      <c r="K61" s="3026"/>
      <c r="L61" s="3026"/>
      <c r="M61" s="2929"/>
      <c r="N61" s="2929"/>
      <c r="O61" s="2929"/>
      <c r="P61" s="2929"/>
      <c r="Q61" s="2929"/>
      <c r="R61" s="2929"/>
      <c r="S61" s="2929"/>
      <c r="T61" s="2929"/>
      <c r="U61" s="2929"/>
      <c r="V61" s="2929"/>
      <c r="W61" s="2929"/>
      <c r="X61" s="2929"/>
      <c r="Y61" s="2929"/>
      <c r="Z61" s="2929"/>
      <c r="AA61" s="2929"/>
      <c r="AB61" s="2929"/>
      <c r="AC61" s="2929"/>
      <c r="AD61" s="2929"/>
      <c r="AE61" s="2929"/>
      <c r="AF61" s="2929"/>
      <c r="AG61" s="2929"/>
      <c r="AH61" s="2929"/>
      <c r="AI61" s="2929"/>
      <c r="AJ61" s="2929"/>
      <c r="AK61" s="2929"/>
      <c r="AL61" s="2929"/>
      <c r="AM61" s="2929"/>
      <c r="AN61" s="2929"/>
      <c r="AO61" s="2929"/>
      <c r="AP61" s="2929"/>
      <c r="AQ61" s="2929"/>
      <c r="AR61" s="2929"/>
    </row>
    <row r="62" spans="1:44" ht="14.4">
      <c r="A62" s="3075" t="s">
        <v>1701</v>
      </c>
      <c r="B62" s="2987"/>
      <c r="C62" s="2935"/>
      <c r="D62" s="2935"/>
      <c r="E62" s="2935"/>
      <c r="F62" s="2935"/>
      <c r="G62" s="2935"/>
      <c r="H62" s="2935"/>
      <c r="I62" s="2935"/>
      <c r="J62" s="2935"/>
      <c r="K62" s="3026"/>
      <c r="L62" s="3026"/>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2929"/>
      <c r="AM62" s="2929"/>
      <c r="AN62" s="2929"/>
      <c r="AO62" s="2929"/>
      <c r="AP62" s="2929"/>
      <c r="AQ62" s="2929"/>
      <c r="AR62" s="2929"/>
    </row>
    <row r="63" spans="1:44" ht="15" thickBot="1">
      <c r="A63" s="3077" t="s">
        <v>1702</v>
      </c>
      <c r="B63" s="3078"/>
      <c r="C63" s="2935"/>
      <c r="D63" s="2935"/>
      <c r="E63" s="2935"/>
      <c r="F63" s="2935"/>
      <c r="G63" s="2935"/>
      <c r="H63" s="2935"/>
      <c r="I63" s="2935"/>
      <c r="J63" s="2935"/>
      <c r="K63" s="3026"/>
      <c r="L63" s="3026"/>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2929"/>
      <c r="AM63" s="2929"/>
      <c r="AN63" s="2929"/>
      <c r="AO63" s="2929"/>
      <c r="AP63" s="2929"/>
      <c r="AQ63" s="2929"/>
      <c r="AR63" s="2929"/>
    </row>
    <row r="64" spans="1:44" s="3080" customFormat="1">
      <c r="A64" s="3079"/>
      <c r="B64" s="2929"/>
      <c r="C64" s="2929"/>
      <c r="D64" s="2929"/>
      <c r="E64" s="2929"/>
      <c r="F64" s="2929"/>
      <c r="G64" s="2929"/>
      <c r="H64" s="2929"/>
      <c r="I64" s="2929"/>
      <c r="J64" s="2929"/>
      <c r="K64" s="3026"/>
      <c r="L64" s="3026"/>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2929"/>
      <c r="AM64" s="2929"/>
      <c r="AN64" s="2929"/>
      <c r="AO64" s="2929"/>
      <c r="AP64" s="2929"/>
      <c r="AQ64" s="2929"/>
      <c r="AR64" s="2929"/>
    </row>
    <row r="65" spans="1:44" s="3080" customFormat="1">
      <c r="A65" s="3079"/>
      <c r="B65" s="2929"/>
      <c r="C65" s="2929"/>
      <c r="D65" s="2929"/>
      <c r="E65" s="2929"/>
      <c r="F65" s="2929"/>
      <c r="G65" s="2929"/>
      <c r="H65" s="2929"/>
      <c r="I65" s="2929"/>
      <c r="J65" s="2929"/>
      <c r="K65" s="3026"/>
      <c r="L65" s="3026"/>
      <c r="M65" s="2929"/>
      <c r="N65" s="2929"/>
      <c r="O65" s="2929"/>
      <c r="P65" s="2929"/>
      <c r="Q65" s="2929"/>
      <c r="R65" s="2929"/>
      <c r="S65" s="2929"/>
      <c r="T65" s="2929"/>
      <c r="U65" s="2929"/>
      <c r="V65" s="2929"/>
      <c r="W65" s="2929"/>
      <c r="X65" s="2929"/>
      <c r="Y65" s="2929"/>
      <c r="Z65" s="2929"/>
      <c r="AA65" s="2929"/>
      <c r="AB65" s="2929"/>
      <c r="AC65" s="2929"/>
      <c r="AD65" s="2929"/>
      <c r="AE65" s="2929"/>
      <c r="AF65" s="2929"/>
      <c r="AG65" s="2929"/>
      <c r="AH65" s="2929"/>
      <c r="AI65" s="2929"/>
      <c r="AJ65" s="2929"/>
      <c r="AK65" s="2929"/>
      <c r="AL65" s="2929"/>
      <c r="AM65" s="2929"/>
      <c r="AN65" s="2929"/>
      <c r="AO65" s="2929"/>
      <c r="AP65" s="2929"/>
      <c r="AQ65" s="2929"/>
      <c r="AR65" s="2929"/>
    </row>
    <row r="66" spans="1:44" s="3080" customFormat="1">
      <c r="A66" s="3079"/>
      <c r="B66" s="2929"/>
      <c r="C66" s="2929"/>
      <c r="D66" s="2929"/>
      <c r="E66" s="2929"/>
      <c r="F66" s="2929"/>
      <c r="G66" s="2929"/>
      <c r="H66" s="2929"/>
      <c r="I66" s="2929"/>
      <c r="J66" s="2929"/>
      <c r="K66" s="3026"/>
      <c r="L66" s="3026"/>
      <c r="M66" s="2929"/>
      <c r="N66" s="2929"/>
      <c r="O66" s="2929"/>
      <c r="P66" s="2929"/>
      <c r="Q66" s="2929"/>
      <c r="R66" s="2929"/>
      <c r="S66" s="2929"/>
      <c r="T66" s="2929"/>
      <c r="U66" s="2929"/>
      <c r="V66" s="2929"/>
      <c r="W66" s="2929"/>
      <c r="X66" s="2929"/>
      <c r="Y66" s="2929"/>
      <c r="Z66" s="2929"/>
      <c r="AA66" s="2929"/>
      <c r="AB66" s="2929"/>
      <c r="AC66" s="2929"/>
      <c r="AD66" s="2929"/>
      <c r="AE66" s="2929"/>
      <c r="AF66" s="2929"/>
      <c r="AG66" s="2929"/>
      <c r="AH66" s="2929"/>
      <c r="AI66" s="2929"/>
      <c r="AJ66" s="2929"/>
      <c r="AK66" s="2929"/>
      <c r="AL66" s="2929"/>
      <c r="AM66" s="2929"/>
      <c r="AN66" s="2929"/>
      <c r="AO66" s="2929"/>
      <c r="AP66" s="2929"/>
      <c r="AQ66" s="2929"/>
      <c r="AR66" s="2929"/>
    </row>
    <row r="67" spans="1:44" s="3080" customFormat="1">
      <c r="A67" s="3079"/>
      <c r="B67" s="2929"/>
      <c r="C67" s="2929"/>
      <c r="D67" s="2929"/>
      <c r="E67" s="2929"/>
      <c r="F67" s="2929"/>
      <c r="G67" s="2929"/>
      <c r="H67" s="2929"/>
      <c r="I67" s="2929"/>
      <c r="J67" s="2929"/>
      <c r="K67" s="3026"/>
      <c r="L67" s="3026"/>
      <c r="M67" s="2929"/>
      <c r="N67" s="2929"/>
      <c r="O67" s="2929"/>
      <c r="P67" s="2929"/>
      <c r="Q67" s="2929"/>
      <c r="R67" s="2929"/>
      <c r="S67" s="2929"/>
      <c r="T67" s="2929"/>
      <c r="U67" s="2929"/>
      <c r="V67" s="2929"/>
      <c r="W67" s="2929"/>
      <c r="X67" s="2929"/>
      <c r="Y67" s="2929"/>
      <c r="Z67" s="2929"/>
      <c r="AA67" s="2929"/>
      <c r="AB67" s="2929"/>
      <c r="AC67" s="2929"/>
      <c r="AD67" s="2929"/>
      <c r="AE67" s="2929"/>
      <c r="AF67" s="2929"/>
      <c r="AG67" s="2929"/>
      <c r="AH67" s="2929"/>
      <c r="AI67" s="2929"/>
      <c r="AJ67" s="2929"/>
      <c r="AK67" s="2929"/>
      <c r="AL67" s="2929"/>
      <c r="AM67" s="2929"/>
      <c r="AN67" s="2929"/>
      <c r="AO67" s="2929"/>
      <c r="AP67" s="2929"/>
      <c r="AQ67" s="2929"/>
      <c r="AR67" s="2929"/>
    </row>
    <row r="68" spans="1:44" s="3080" customFormat="1">
      <c r="A68" s="3079"/>
      <c r="B68" s="2929"/>
      <c r="C68" s="2929"/>
      <c r="D68" s="2929"/>
      <c r="E68" s="2929"/>
      <c r="F68" s="2929"/>
      <c r="G68" s="2929"/>
      <c r="H68" s="2929"/>
      <c r="I68" s="2929"/>
      <c r="J68" s="2929"/>
      <c r="K68" s="3026"/>
      <c r="L68" s="3026"/>
      <c r="M68" s="2929"/>
      <c r="N68" s="2929"/>
      <c r="O68" s="2929"/>
      <c r="P68" s="2929"/>
      <c r="Q68" s="2929"/>
      <c r="R68" s="2929"/>
      <c r="S68" s="2929"/>
      <c r="T68" s="2929"/>
      <c r="U68" s="2929"/>
      <c r="V68" s="2929"/>
      <c r="W68" s="2929"/>
      <c r="X68" s="2929"/>
      <c r="Y68" s="2929"/>
      <c r="Z68" s="2929"/>
      <c r="AA68" s="2929"/>
      <c r="AB68" s="2929"/>
      <c r="AC68" s="2929"/>
      <c r="AD68" s="2929"/>
      <c r="AE68" s="2929"/>
      <c r="AF68" s="2929"/>
      <c r="AG68" s="2929"/>
      <c r="AH68" s="2929"/>
      <c r="AI68" s="2929"/>
      <c r="AJ68" s="2929"/>
      <c r="AK68" s="2929"/>
      <c r="AL68" s="2929"/>
      <c r="AM68" s="2929"/>
      <c r="AN68" s="2929"/>
      <c r="AO68" s="2929"/>
      <c r="AP68" s="2929"/>
      <c r="AQ68" s="2929"/>
      <c r="AR68" s="2929"/>
    </row>
    <row r="69" spans="1:44" s="3080" customFormat="1">
      <c r="A69" s="3081"/>
      <c r="K69" s="2474"/>
      <c r="L69" s="2474"/>
    </row>
    <row r="70" spans="1:44" s="3080" customFormat="1">
      <c r="A70" s="3081"/>
      <c r="K70" s="2474"/>
      <c r="L70" s="2474"/>
    </row>
    <row r="71" spans="1:44" s="3080" customFormat="1">
      <c r="A71" s="3081"/>
      <c r="K71" s="2474"/>
      <c r="L71" s="2474"/>
    </row>
    <row r="72" spans="1:44" s="3080" customFormat="1">
      <c r="A72" s="3081"/>
      <c r="K72" s="2474"/>
      <c r="L72" s="2474"/>
    </row>
    <row r="73" spans="1:44" s="3080" customFormat="1">
      <c r="A73" s="3081"/>
      <c r="K73" s="2474"/>
      <c r="L73" s="2474"/>
    </row>
    <row r="74" spans="1:44" s="3080" customFormat="1">
      <c r="A74" s="3081"/>
      <c r="K74" s="2474"/>
      <c r="L74" s="2474"/>
    </row>
    <row r="75" spans="1:44" s="3080" customFormat="1">
      <c r="A75" s="3081"/>
      <c r="K75" s="2474"/>
      <c r="L75" s="2474"/>
    </row>
    <row r="76" spans="1:44" s="3080" customFormat="1">
      <c r="A76" s="3081"/>
      <c r="K76" s="2474"/>
      <c r="L76" s="2474"/>
    </row>
    <row r="77" spans="1:44" s="3080" customFormat="1">
      <c r="A77" s="3081"/>
      <c r="K77" s="2474"/>
      <c r="L77" s="2474"/>
    </row>
    <row r="78" spans="1:44" s="3080" customFormat="1">
      <c r="A78" s="3081"/>
      <c r="K78" s="2474"/>
      <c r="L78" s="2474"/>
    </row>
    <row r="79" spans="1:44" s="3080" customFormat="1">
      <c r="A79" s="3081"/>
      <c r="K79" s="2474"/>
      <c r="L79" s="2474"/>
    </row>
    <row r="80" spans="1:44" s="3080" customFormat="1">
      <c r="A80" s="3081"/>
      <c r="K80" s="2474"/>
      <c r="L80" s="2474"/>
    </row>
    <row r="81" spans="1:12" s="3080" customFormat="1">
      <c r="A81" s="3081"/>
      <c r="K81" s="2474"/>
      <c r="L81" s="2474"/>
    </row>
    <row r="82" spans="1:12" s="3080" customFormat="1">
      <c r="A82" s="3081"/>
      <c r="K82" s="2474"/>
      <c r="L82" s="2474"/>
    </row>
    <row r="83" spans="1:12" s="3080" customFormat="1">
      <c r="A83" s="3081"/>
      <c r="K83" s="2474"/>
      <c r="L83" s="2474"/>
    </row>
    <row r="84" spans="1:12" s="3080" customFormat="1">
      <c r="A84" s="3081"/>
      <c r="K84" s="2474"/>
      <c r="L84" s="2474"/>
    </row>
    <row r="85" spans="1:12" s="3080" customFormat="1">
      <c r="A85" s="3081"/>
      <c r="K85" s="2474"/>
      <c r="L85" s="2474"/>
    </row>
    <row r="86" spans="1:12" s="3080" customFormat="1">
      <c r="A86" s="3081"/>
      <c r="K86" s="2474"/>
      <c r="L86" s="2474"/>
    </row>
    <row r="87" spans="1:12" s="3080" customFormat="1">
      <c r="A87" s="3081"/>
      <c r="K87" s="2474"/>
      <c r="L87" s="2474"/>
    </row>
    <row r="88" spans="1:12" s="3080" customFormat="1">
      <c r="A88" s="3081"/>
      <c r="K88" s="2474"/>
      <c r="L88" s="2474"/>
    </row>
    <row r="89" spans="1:12" s="3080" customFormat="1">
      <c r="A89" s="3081"/>
      <c r="K89" s="2474"/>
      <c r="L89" s="2474"/>
    </row>
    <row r="90" spans="1:12" s="3080" customFormat="1">
      <c r="A90" s="3081"/>
      <c r="K90" s="2474"/>
      <c r="L90" s="2474"/>
    </row>
    <row r="91" spans="1:12" s="3080" customFormat="1">
      <c r="A91" s="3081"/>
      <c r="K91" s="2474"/>
      <c r="L91" s="2474"/>
    </row>
    <row r="92" spans="1:12" s="3080" customFormat="1">
      <c r="A92" s="3081"/>
      <c r="K92" s="2474"/>
      <c r="L92" s="2474"/>
    </row>
    <row r="93" spans="1:12" s="3080" customFormat="1">
      <c r="A93" s="3081"/>
      <c r="K93" s="2474"/>
      <c r="L93" s="2474"/>
    </row>
    <row r="94" spans="1:12" s="3080" customFormat="1">
      <c r="A94" s="3081"/>
      <c r="K94" s="2474"/>
      <c r="L94" s="2474"/>
    </row>
    <row r="95" spans="1:12" s="3080" customFormat="1">
      <c r="A95" s="3081"/>
      <c r="K95" s="2474"/>
      <c r="L95" s="2474"/>
    </row>
    <row r="96" spans="1:12" s="3080" customFormat="1">
      <c r="A96" s="3081"/>
      <c r="K96" s="2474"/>
      <c r="L96" s="2474"/>
    </row>
    <row r="97" spans="1:12" s="3080" customFormat="1">
      <c r="A97" s="3081"/>
      <c r="K97" s="2474"/>
      <c r="L97" s="2474"/>
    </row>
    <row r="98" spans="1:12" s="3080" customFormat="1">
      <c r="A98" s="3081"/>
      <c r="K98" s="2474"/>
      <c r="L98" s="2474"/>
    </row>
    <row r="99" spans="1:12" s="3080" customFormat="1">
      <c r="A99" s="3081"/>
      <c r="K99" s="2474"/>
      <c r="L99" s="2474"/>
    </row>
    <row r="100" spans="1:12" s="3080" customFormat="1">
      <c r="A100" s="3081"/>
      <c r="K100" s="2474"/>
      <c r="L100" s="2474"/>
    </row>
    <row r="101" spans="1:12" s="3080" customFormat="1">
      <c r="A101" s="3081"/>
      <c r="K101" s="2474"/>
      <c r="L101" s="2474"/>
    </row>
    <row r="102" spans="1:12" s="3080" customFormat="1">
      <c r="A102" s="3081"/>
      <c r="K102" s="2474"/>
      <c r="L102" s="2474"/>
    </row>
    <row r="103" spans="1:12" s="3080" customFormat="1">
      <c r="A103" s="3081"/>
      <c r="K103" s="2474"/>
      <c r="L103" s="2474"/>
    </row>
    <row r="104" spans="1:12" s="3080" customFormat="1">
      <c r="A104" s="3081"/>
      <c r="K104" s="2474"/>
      <c r="L104" s="2474"/>
    </row>
    <row r="105" spans="1:12" s="3080" customFormat="1">
      <c r="A105" s="3081"/>
      <c r="K105" s="2474"/>
      <c r="L105" s="2474"/>
    </row>
    <row r="106" spans="1:12" s="3080" customFormat="1">
      <c r="A106" s="3081"/>
      <c r="K106" s="2474"/>
      <c r="L106" s="2474"/>
    </row>
    <row r="107" spans="1:12" s="3080" customFormat="1">
      <c r="A107" s="3081"/>
      <c r="K107" s="2474"/>
      <c r="L107" s="2474"/>
    </row>
    <row r="108" spans="1:12" s="3080" customFormat="1">
      <c r="A108" s="3081"/>
      <c r="K108" s="2474"/>
      <c r="L108" s="2474"/>
    </row>
    <row r="109" spans="1:12" s="3080" customFormat="1">
      <c r="A109" s="3081"/>
      <c r="K109" s="2474"/>
      <c r="L109" s="2474"/>
    </row>
    <row r="110" spans="1:12" s="3080" customFormat="1">
      <c r="A110" s="3081"/>
      <c r="K110" s="2474"/>
      <c r="L110" s="2474"/>
    </row>
    <row r="111" spans="1:12" s="3080" customFormat="1">
      <c r="A111" s="3081"/>
      <c r="K111" s="2474"/>
      <c r="L111" s="2474"/>
    </row>
    <row r="112" spans="1:12" s="3080" customFormat="1">
      <c r="A112" s="3081"/>
      <c r="K112" s="2474"/>
      <c r="L112" s="2474"/>
    </row>
    <row r="113" spans="1:12" s="3080" customFormat="1">
      <c r="A113" s="3081"/>
      <c r="K113" s="2474"/>
      <c r="L113" s="2474"/>
    </row>
    <row r="114" spans="1:12" s="3080" customFormat="1">
      <c r="A114" s="3081"/>
      <c r="K114" s="2474"/>
      <c r="L114" s="2474"/>
    </row>
    <row r="115" spans="1:12" s="3080" customFormat="1">
      <c r="A115" s="3081"/>
      <c r="K115" s="2474"/>
      <c r="L115" s="2474"/>
    </row>
    <row r="116" spans="1:12" s="3080" customFormat="1">
      <c r="A116" s="3081"/>
      <c r="K116" s="2474"/>
      <c r="L116" s="2474"/>
    </row>
    <row r="117" spans="1:12" s="3080" customFormat="1">
      <c r="A117" s="3081"/>
      <c r="K117" s="2474"/>
      <c r="L117" s="2474"/>
    </row>
    <row r="118" spans="1:12" s="3080" customFormat="1">
      <c r="A118" s="3081"/>
      <c r="K118" s="2474"/>
      <c r="L118" s="2474"/>
    </row>
    <row r="119" spans="1:12" s="3080" customFormat="1">
      <c r="A119" s="3081"/>
      <c r="K119" s="2474"/>
      <c r="L119" s="2474"/>
    </row>
    <row r="120" spans="1:12" s="3080" customFormat="1">
      <c r="A120" s="3081"/>
      <c r="K120" s="2474"/>
      <c r="L120" s="2474"/>
    </row>
    <row r="121" spans="1:12" s="3080" customFormat="1">
      <c r="A121" s="3081"/>
      <c r="K121" s="2474"/>
      <c r="L121" s="2474"/>
    </row>
    <row r="122" spans="1:12" s="3080" customFormat="1">
      <c r="A122" s="3081"/>
      <c r="K122" s="2474"/>
      <c r="L122" s="2474"/>
    </row>
    <row r="123" spans="1:12" s="3080" customFormat="1">
      <c r="A123" s="3081"/>
      <c r="K123" s="2474"/>
      <c r="L123" s="2474"/>
    </row>
    <row r="124" spans="1:12" s="3080" customFormat="1">
      <c r="A124" s="3081"/>
      <c r="K124" s="2474"/>
      <c r="L124" s="2474"/>
    </row>
    <row r="125" spans="1:12" s="3080" customFormat="1">
      <c r="A125" s="3081"/>
      <c r="K125" s="2474"/>
      <c r="L125" s="2474"/>
    </row>
    <row r="126" spans="1:12" s="3080" customFormat="1">
      <c r="A126" s="3081"/>
      <c r="K126" s="2474"/>
      <c r="L126" s="2474"/>
    </row>
    <row r="127" spans="1:12" s="3080" customFormat="1">
      <c r="A127" s="3081"/>
      <c r="K127" s="2474"/>
      <c r="L127" s="2474"/>
    </row>
    <row r="128" spans="1:12" s="3080" customFormat="1">
      <c r="A128" s="3081"/>
      <c r="K128" s="2474"/>
      <c r="L128" s="2474"/>
    </row>
    <row r="129" spans="1:12" s="3080" customFormat="1">
      <c r="A129" s="3081"/>
      <c r="K129" s="2474"/>
      <c r="L129" s="2474"/>
    </row>
    <row r="130" spans="1:12" s="3080" customFormat="1">
      <c r="A130" s="3081"/>
      <c r="K130" s="2474"/>
      <c r="L130" s="2474"/>
    </row>
    <row r="131" spans="1:12" s="3080" customFormat="1">
      <c r="A131" s="3081"/>
      <c r="K131" s="2474"/>
      <c r="L131" s="2474"/>
    </row>
    <row r="132" spans="1:12" s="3080" customFormat="1">
      <c r="A132" s="3081"/>
      <c r="K132" s="2474"/>
      <c r="L132" s="2474"/>
    </row>
    <row r="133" spans="1:12" s="3080" customFormat="1">
      <c r="A133" s="3081"/>
      <c r="K133" s="2474"/>
      <c r="L133" s="2474"/>
    </row>
    <row r="134" spans="1:12" s="2930" customFormat="1">
      <c r="A134" s="3082"/>
      <c r="K134" s="3083"/>
      <c r="L134" s="3083"/>
    </row>
    <row r="135" spans="1:12" s="2930" customFormat="1">
      <c r="A135" s="3082"/>
      <c r="K135" s="3083"/>
      <c r="L135" s="3083"/>
    </row>
    <row r="136" spans="1:12" s="2930" customFormat="1">
      <c r="A136" s="3082"/>
      <c r="K136" s="3083"/>
      <c r="L136" s="3083"/>
    </row>
    <row r="137" spans="1:12" s="2930" customFormat="1">
      <c r="A137" s="3082"/>
      <c r="K137" s="3083"/>
      <c r="L137" s="3083"/>
    </row>
    <row r="138" spans="1:12" s="2930" customFormat="1">
      <c r="A138" s="3082"/>
      <c r="K138" s="3083"/>
      <c r="L138" s="3083"/>
    </row>
    <row r="139" spans="1:12" s="2930" customFormat="1">
      <c r="A139" s="3082"/>
      <c r="K139" s="3083"/>
      <c r="L139" s="3083"/>
    </row>
    <row r="140" spans="1:12" s="2930" customFormat="1">
      <c r="A140" s="3082"/>
      <c r="K140" s="3083"/>
      <c r="L140" s="3083"/>
    </row>
    <row r="141" spans="1:12" s="2930" customFormat="1">
      <c r="A141" s="3082"/>
      <c r="K141" s="3083"/>
      <c r="L141" s="3083"/>
    </row>
    <row r="142" spans="1:12" s="2930" customFormat="1">
      <c r="A142" s="3082"/>
      <c r="K142" s="3083"/>
      <c r="L142" s="3083"/>
    </row>
    <row r="143" spans="1:12" s="2930" customFormat="1">
      <c r="A143" s="3082"/>
      <c r="K143" s="3083"/>
      <c r="L143" s="3083"/>
    </row>
    <row r="144" spans="1:12" s="2930" customFormat="1">
      <c r="A144" s="3082"/>
      <c r="K144" s="3083"/>
      <c r="L144" s="3083"/>
    </row>
    <row r="145" spans="1:12" s="2930" customFormat="1">
      <c r="A145" s="3082"/>
      <c r="K145" s="3083"/>
      <c r="L145" s="3083"/>
    </row>
    <row r="146" spans="1:12" s="2930" customFormat="1">
      <c r="A146" s="3082"/>
      <c r="K146" s="3083"/>
      <c r="L146" s="3083"/>
    </row>
    <row r="147" spans="1:12" s="2930" customFormat="1">
      <c r="A147" s="3082"/>
      <c r="K147" s="3083"/>
      <c r="L147" s="3083"/>
    </row>
    <row r="148" spans="1:12" s="2930" customFormat="1">
      <c r="A148" s="3082"/>
      <c r="K148" s="3083"/>
      <c r="L148" s="3083"/>
    </row>
    <row r="149" spans="1:12" s="2930" customFormat="1">
      <c r="A149" s="3082"/>
      <c r="K149" s="3083"/>
      <c r="L149" s="3083"/>
    </row>
    <row r="150" spans="1:12" s="2930" customFormat="1">
      <c r="A150" s="3082"/>
      <c r="K150" s="3083"/>
      <c r="L150" s="3083"/>
    </row>
    <row r="151" spans="1:12" s="2930" customFormat="1">
      <c r="A151" s="3082"/>
      <c r="K151" s="3083"/>
      <c r="L151" s="3083"/>
    </row>
    <row r="152" spans="1:12" s="2930" customFormat="1">
      <c r="A152" s="3082"/>
      <c r="K152" s="3083"/>
      <c r="L152" s="3083"/>
    </row>
    <row r="153" spans="1:12" s="2930" customFormat="1">
      <c r="A153" s="3082"/>
      <c r="K153" s="3083"/>
      <c r="L153" s="3083"/>
    </row>
    <row r="154" spans="1:12" s="2930" customFormat="1">
      <c r="A154" s="3082"/>
      <c r="K154" s="3083"/>
      <c r="L154" s="3083"/>
    </row>
    <row r="155" spans="1:12" s="2930" customFormat="1">
      <c r="A155" s="3082"/>
      <c r="K155" s="3083"/>
      <c r="L155" s="3083"/>
    </row>
    <row r="156" spans="1:12" s="2930" customFormat="1">
      <c r="A156" s="3082"/>
      <c r="K156" s="3083"/>
      <c r="L156" s="3083"/>
    </row>
    <row r="157" spans="1:12" s="2930" customFormat="1">
      <c r="A157" s="3082"/>
      <c r="K157" s="3083"/>
      <c r="L157" s="3083"/>
    </row>
    <row r="158" spans="1:12" s="2930" customFormat="1">
      <c r="A158" s="3082"/>
      <c r="K158" s="3083"/>
      <c r="L158" s="3083"/>
    </row>
    <row r="159" spans="1:12" s="2930" customFormat="1">
      <c r="A159" s="3082"/>
      <c r="K159" s="3083"/>
      <c r="L159" s="3083"/>
    </row>
    <row r="160" spans="1:12" s="2930" customFormat="1">
      <c r="A160" s="3082"/>
      <c r="K160" s="3083"/>
      <c r="L160" s="3083"/>
    </row>
    <row r="161" spans="1:12" s="2930" customFormat="1">
      <c r="A161" s="3082"/>
      <c r="K161" s="3083"/>
      <c r="L161" s="3083"/>
    </row>
    <row r="162" spans="1:12" s="2930" customFormat="1">
      <c r="A162" s="3082"/>
      <c r="K162" s="3083"/>
      <c r="L162" s="3083"/>
    </row>
    <row r="163" spans="1:12" s="2930" customFormat="1">
      <c r="A163" s="3082"/>
      <c r="K163" s="3083"/>
      <c r="L163" s="3083"/>
    </row>
    <row r="164" spans="1:12" s="2930" customFormat="1">
      <c r="A164" s="3082"/>
      <c r="K164" s="3083"/>
      <c r="L164" s="3083"/>
    </row>
    <row r="165" spans="1:12" s="2930" customFormat="1">
      <c r="A165" s="3082"/>
      <c r="K165" s="3083"/>
      <c r="L165" s="3083"/>
    </row>
    <row r="166" spans="1:12" s="2930" customFormat="1">
      <c r="A166" s="3082"/>
      <c r="K166" s="3083"/>
      <c r="L166" s="3083"/>
    </row>
    <row r="167" spans="1:12" s="2930" customFormat="1">
      <c r="A167" s="3082"/>
      <c r="K167" s="3083"/>
      <c r="L167" s="3083"/>
    </row>
    <row r="168" spans="1:12" s="2930" customFormat="1">
      <c r="A168" s="3082"/>
      <c r="K168" s="3083"/>
      <c r="L168" s="3083"/>
    </row>
    <row r="169" spans="1:12" s="2930" customFormat="1">
      <c r="A169" s="3082"/>
      <c r="K169" s="3083"/>
      <c r="L169" s="3083"/>
    </row>
    <row r="170" spans="1:12" s="2930" customFormat="1">
      <c r="A170" s="3082"/>
      <c r="K170" s="3083"/>
      <c r="L170" s="3083"/>
    </row>
    <row r="171" spans="1:12" s="2930" customFormat="1">
      <c r="A171" s="3082"/>
      <c r="K171" s="3083"/>
      <c r="L171" s="3083"/>
    </row>
    <row r="172" spans="1:12" s="2930" customFormat="1">
      <c r="A172" s="3082"/>
      <c r="K172" s="3083"/>
      <c r="L172" s="3083"/>
    </row>
    <row r="173" spans="1:12" s="2930" customFormat="1">
      <c r="A173" s="3082"/>
      <c r="K173" s="3083"/>
      <c r="L173" s="3083"/>
    </row>
    <row r="174" spans="1:12" s="2930" customFormat="1">
      <c r="A174" s="3082"/>
      <c r="K174" s="3083"/>
      <c r="L174" s="308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3.8"/>
  <cols>
    <col min="1" max="1" width="9.44140625" style="1439" customWidth="1"/>
    <col min="2" max="2" width="24.44140625" style="1373" customWidth="1"/>
    <col min="3" max="3" width="42.44140625" style="2016" customWidth="1"/>
    <col min="4" max="4" width="2.6640625" style="2016" customWidth="1"/>
    <col min="5" max="5" width="5.88671875" style="2016" customWidth="1"/>
    <col min="6" max="6" width="27" style="1373" customWidth="1"/>
    <col min="7" max="7" width="27" style="2017" customWidth="1"/>
    <col min="8" max="8" width="11.88671875" style="1997" customWidth="1"/>
    <col min="9" max="9" width="16.77734375" style="1998" customWidth="1"/>
    <col min="10" max="10" width="2.6640625" style="1997" customWidth="1"/>
    <col min="11" max="11" width="11.88671875" style="1997" customWidth="1"/>
    <col min="12" max="12" width="16.77734375" style="1998" customWidth="1"/>
    <col min="13" max="13" width="2.6640625" style="1997" customWidth="1"/>
    <col min="14" max="14" width="11.88671875" style="1997" customWidth="1"/>
    <col min="15" max="15" width="16.77734375" style="1998" customWidth="1"/>
    <col min="16" max="16" width="2.6640625" style="1997" customWidth="1"/>
    <col min="17" max="17" width="11.88671875" style="1997" customWidth="1"/>
    <col min="18" max="18" width="16.77734375" style="1999" customWidth="1"/>
    <col min="19" max="29" width="9" style="675"/>
    <col min="30" max="16384" width="9" style="1439"/>
  </cols>
  <sheetData>
    <row r="1" spans="1:29" s="1964" customFormat="1" ht="18" thickBot="1">
      <c r="A1" s="3707" t="s">
        <v>2781</v>
      </c>
      <c r="B1" s="3708"/>
      <c r="C1" s="3708"/>
      <c r="D1" s="3708"/>
      <c r="E1" s="3708"/>
      <c r="F1" s="3708"/>
      <c r="G1" s="3708"/>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4.4"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3579</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3581</v>
      </c>
      <c r="D9" s="1971"/>
      <c r="E9" s="1977"/>
      <c r="F9" s="1981"/>
      <c r="G9" s="1981"/>
      <c r="H9" s="675"/>
      <c r="I9" s="675"/>
      <c r="J9" s="675"/>
      <c r="K9" s="675"/>
      <c r="L9" s="675"/>
      <c r="M9" s="675"/>
      <c r="N9" s="675"/>
      <c r="O9" s="675"/>
      <c r="P9" s="675"/>
      <c r="Q9" s="675"/>
      <c r="R9" s="675"/>
    </row>
    <row r="10" spans="1:29" s="1987" customFormat="1" ht="14.4"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7.399999999999999">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 thickBot="1">
      <c r="A13" s="1996" t="s">
        <v>2782</v>
      </c>
      <c r="B13" s="1990"/>
      <c r="C13" s="1990"/>
      <c r="D13" s="1988"/>
      <c r="E13" s="1990"/>
      <c r="F13" s="1990"/>
      <c r="G13" s="1990"/>
    </row>
    <row r="14" spans="1:29" ht="14.4" thickBot="1">
      <c r="A14" s="2000"/>
      <c r="B14" s="2000"/>
      <c r="C14" s="2001" t="s">
        <v>2766</v>
      </c>
      <c r="D14" s="1971"/>
      <c r="E14" s="2002"/>
      <c r="F14" s="2002"/>
      <c r="G14" s="1967" t="s">
        <v>2767</v>
      </c>
    </row>
    <row r="15" spans="1:29" ht="52.8">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9.6">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52.8">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6.4">
      <c r="A19" s="1953"/>
      <c r="B19" s="2008" t="s">
        <v>2772</v>
      </c>
      <c r="C19" s="2010"/>
      <c r="D19" s="1971"/>
      <c r="E19" s="1954"/>
      <c r="F19" s="186" t="s">
        <v>2757</v>
      </c>
      <c r="G19" s="2009" t="str">
        <f>G5</f>
        <v>估价对象所在区域公共配套设施齐备情况</v>
      </c>
    </row>
    <row r="20" spans="1:18" ht="39.6">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92.4">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4.4"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4.4"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topLeftCell="A3" zoomScale="80" zoomScaleNormal="80" zoomScaleSheetLayoutView="80" workbookViewId="0">
      <selection activeCell="B15" sqref="B15:D15"/>
    </sheetView>
  </sheetViews>
  <sheetFormatPr defaultColWidth="9" defaultRowHeight="14.4"/>
  <cols>
    <col min="1" max="1" width="25" style="3606" customWidth="1"/>
    <col min="2" max="9" width="15.77734375" style="3606" customWidth="1"/>
    <col min="10" max="16384" width="9" style="3606"/>
  </cols>
  <sheetData>
    <row r="1" spans="1:11" ht="16.2">
      <c r="A1" s="3602" t="s">
        <v>1090</v>
      </c>
      <c r="B1" s="3602">
        <f>SUM(B14:B23)</f>
        <v>122002.77</v>
      </c>
      <c r="C1" s="3603"/>
      <c r="D1" s="3603"/>
      <c r="E1" s="3603"/>
      <c r="F1" s="3603"/>
      <c r="G1" s="3604"/>
      <c r="H1" s="3605"/>
      <c r="I1" s="3605"/>
      <c r="J1" s="3605"/>
      <c r="K1" s="3605"/>
    </row>
    <row r="2" spans="1:11" ht="16.2">
      <c r="A2" s="3602" t="s">
        <v>1078</v>
      </c>
      <c r="B2" s="3602">
        <f>SUM(C14:C23)</f>
        <v>52221.18</v>
      </c>
      <c r="C2" s="3603"/>
      <c r="D2" s="3603"/>
      <c r="E2" s="3603"/>
      <c r="F2" s="3603"/>
      <c r="G2" s="3604"/>
      <c r="H2" s="3605"/>
      <c r="I2" s="3605"/>
      <c r="J2" s="3605"/>
      <c r="K2" s="3605"/>
    </row>
    <row r="3" spans="1:11" ht="15.6">
      <c r="A3" s="3602" t="s">
        <v>1087</v>
      </c>
      <c r="B3" s="3614">
        <f>项目基本情况!D3</f>
        <v>44775</v>
      </c>
      <c r="C3" s="3603"/>
      <c r="D3" s="3603"/>
      <c r="E3" s="3603"/>
      <c r="F3" s="3603"/>
      <c r="G3" s="3604"/>
      <c r="H3" s="3605"/>
      <c r="I3" s="3605"/>
      <c r="J3" s="3605"/>
      <c r="K3" s="3605"/>
    </row>
    <row r="4" spans="1:11" ht="31.2">
      <c r="A4" s="3602" t="s">
        <v>1086</v>
      </c>
      <c r="B4" s="3602" t="s">
        <v>1085</v>
      </c>
      <c r="C4" s="3602" t="s">
        <v>1084</v>
      </c>
      <c r="D4" s="3602" t="s">
        <v>1083</v>
      </c>
      <c r="E4" s="3603"/>
      <c r="F4" s="3604"/>
      <c r="G4" s="3604"/>
      <c r="H4" s="3605"/>
      <c r="I4" s="3605"/>
      <c r="J4" s="3605"/>
      <c r="K4" s="3605"/>
    </row>
    <row r="5" spans="1:11" ht="15.6">
      <c r="A5" s="3602" t="s">
        <v>1082</v>
      </c>
      <c r="B5" s="3602">
        <f ca="1">SUM(D14:D23)</f>
        <v>486665</v>
      </c>
      <c r="C5" s="3602">
        <f ca="1">ROUND(B5*10000/$B$1,0)</f>
        <v>39890</v>
      </c>
      <c r="D5" s="3602">
        <f ca="1">ROUND(B5*10000/$B$2,0)</f>
        <v>93193</v>
      </c>
      <c r="E5" s="3603"/>
      <c r="F5" s="3604"/>
      <c r="G5" s="3604"/>
      <c r="H5" s="3605"/>
      <c r="I5" s="3605"/>
      <c r="J5" s="3605"/>
      <c r="K5" s="3605"/>
    </row>
    <row r="6" spans="1:11" ht="15.6">
      <c r="A6" s="3602" t="s">
        <v>1081</v>
      </c>
      <c r="B6" s="3602">
        <f ca="1">SUM(G14:G23)</f>
        <v>486665</v>
      </c>
      <c r="C6" s="3602">
        <f ca="1">ROUND(B6*10000/$B$1,0)</f>
        <v>39890</v>
      </c>
      <c r="D6" s="3602">
        <f ca="1">ROUND(B6*10000/$B$2,0)</f>
        <v>93193</v>
      </c>
      <c r="E6" s="3603"/>
      <c r="F6" s="3604"/>
      <c r="G6" s="3604"/>
      <c r="H6" s="3605"/>
      <c r="I6" s="3605"/>
      <c r="J6" s="3605"/>
      <c r="K6" s="3605"/>
    </row>
    <row r="7" spans="1:11" ht="15.6">
      <c r="A7" s="3602" t="s">
        <v>1089</v>
      </c>
      <c r="B7" s="3602">
        <f>SUM(H14:H23)</f>
        <v>0</v>
      </c>
      <c r="C7" s="3602">
        <f>ROUND(B7*10000/$B$1,0)</f>
        <v>0</v>
      </c>
      <c r="D7" s="3602">
        <f>ROUND(B7*10000/$B$2,0)</f>
        <v>0</v>
      </c>
      <c r="E7" s="3603"/>
      <c r="F7" s="3604"/>
      <c r="G7" s="3604"/>
      <c r="H7" s="3605"/>
      <c r="I7" s="3605"/>
      <c r="J7" s="3605"/>
      <c r="K7" s="3605"/>
    </row>
    <row r="8" spans="1:11" ht="15.6">
      <c r="A8" s="3602" t="s">
        <v>1012</v>
      </c>
      <c r="B8" s="3602">
        <f>SUM(I14:I23)</f>
        <v>0</v>
      </c>
      <c r="C8" s="3602">
        <f>ROUND(B8*10000/$B$1,0)</f>
        <v>0</v>
      </c>
      <c r="D8" s="3602">
        <f>ROUND(B8*10000/$B$2,0)</f>
        <v>0</v>
      </c>
      <c r="E8" s="3603"/>
      <c r="F8" s="3604"/>
      <c r="G8" s="3604"/>
      <c r="H8" s="3605"/>
      <c r="I8" s="3605"/>
      <c r="J8" s="3605"/>
      <c r="K8" s="3605"/>
    </row>
    <row r="9" spans="1:11" ht="15.6">
      <c r="A9" s="3602" t="s">
        <v>1080</v>
      </c>
      <c r="B9" s="3607"/>
      <c r="C9" s="3603"/>
      <c r="D9" s="3603"/>
      <c r="E9" s="3603"/>
      <c r="F9" s="3604"/>
      <c r="G9" s="3604"/>
      <c r="H9" s="3605"/>
      <c r="I9" s="3605"/>
      <c r="J9" s="3605"/>
      <c r="K9" s="3605"/>
    </row>
    <row r="10" spans="1:11" ht="15.6">
      <c r="A10" s="3602" t="s">
        <v>1079</v>
      </c>
      <c r="B10" s="3607"/>
      <c r="C10" s="3603"/>
      <c r="D10" s="3603"/>
      <c r="E10" s="3603"/>
      <c r="F10" s="3604"/>
      <c r="G10" s="3604"/>
      <c r="H10" s="3605"/>
      <c r="I10" s="3605"/>
      <c r="J10" s="3605"/>
      <c r="K10" s="3605"/>
    </row>
    <row r="11" spans="1:11" ht="15.6">
      <c r="A11" s="3602" t="s">
        <v>1095</v>
      </c>
      <c r="B11" s="3607"/>
      <c r="C11" s="3603"/>
      <c r="D11" s="3603"/>
      <c r="E11" s="3603"/>
      <c r="F11" s="3604"/>
      <c r="G11" s="3604"/>
      <c r="H11" s="3605"/>
      <c r="I11" s="3605"/>
      <c r="J11" s="3605"/>
      <c r="K11" s="3605"/>
    </row>
    <row r="12" spans="1:11" ht="15.6">
      <c r="A12" s="3603"/>
      <c r="B12" s="3603"/>
      <c r="C12" s="3603"/>
      <c r="D12" s="3603"/>
      <c r="E12" s="3603"/>
      <c r="F12" s="3604"/>
      <c r="G12" s="3604"/>
      <c r="H12" s="3605"/>
      <c r="I12" s="3605"/>
      <c r="J12" s="3605"/>
      <c r="K12" s="3605"/>
    </row>
    <row r="13" spans="1:11" ht="31.8">
      <c r="A13" s="3608" t="s">
        <v>1094</v>
      </c>
      <c r="B13" s="3609" t="s">
        <v>1091</v>
      </c>
      <c r="C13" s="3609" t="s">
        <v>1093</v>
      </c>
      <c r="D13" s="3609" t="s">
        <v>1092</v>
      </c>
      <c r="E13" s="3602" t="s">
        <v>1084</v>
      </c>
      <c r="F13" s="3602" t="s">
        <v>1083</v>
      </c>
      <c r="G13" s="3609" t="s">
        <v>1077</v>
      </c>
      <c r="H13" s="3609" t="s">
        <v>1088</v>
      </c>
      <c r="I13" s="3609" t="s">
        <v>1076</v>
      </c>
      <c r="J13" s="3604"/>
      <c r="K13" s="3605"/>
    </row>
    <row r="14" spans="1:11" ht="15.6">
      <c r="A14" s="3610" t="s">
        <v>1075</v>
      </c>
      <c r="B14" s="3611">
        <f>结果表!B118</f>
        <v>122002.77</v>
      </c>
      <c r="C14" s="3611">
        <f>结果表!C118</f>
        <v>52221.18</v>
      </c>
      <c r="D14" s="3611">
        <f ca="1">结果表!H118</f>
        <v>486665</v>
      </c>
      <c r="E14" s="3611">
        <f ca="1">ROUND(D14*10000/B14,0)</f>
        <v>39890</v>
      </c>
      <c r="F14" s="3611">
        <f ca="1">ROUND(D14*10000/C14,0)</f>
        <v>93193</v>
      </c>
      <c r="G14" s="3611">
        <f ca="1">结果表!D122</f>
        <v>486665</v>
      </c>
      <c r="H14" s="3611" t="str">
        <f>结果表!D124</f>
        <v>——</v>
      </c>
      <c r="I14" s="3611" t="str">
        <f>结果表!D126</f>
        <v>——</v>
      </c>
      <c r="J14" s="3604"/>
      <c r="K14" s="3605"/>
    </row>
    <row r="15" spans="1:11" ht="15.6">
      <c r="A15" s="3610" t="s">
        <v>1074</v>
      </c>
      <c r="B15" s="3611"/>
      <c r="C15" s="3611"/>
      <c r="D15" s="3611"/>
      <c r="E15" s="3611" t="e">
        <f t="shared" ref="E15:E23" si="0">ROUND(D15*10000/B15,0)</f>
        <v>#DIV/0!</v>
      </c>
      <c r="F15" s="3611" t="e">
        <f t="shared" ref="F15:F23" si="1">ROUND(D15*10000/C15,0)</f>
        <v>#DIV/0!</v>
      </c>
      <c r="G15" s="3613">
        <f>D15</f>
        <v>0</v>
      </c>
      <c r="H15" s="3613"/>
      <c r="I15" s="3612"/>
      <c r="J15" s="3604"/>
      <c r="K15" s="3605"/>
    </row>
    <row r="16" spans="1:11" ht="15.6">
      <c r="A16" s="3610" t="s">
        <v>1073</v>
      </c>
      <c r="B16" s="3612"/>
      <c r="C16" s="3612"/>
      <c r="D16" s="3612"/>
      <c r="E16" s="3611" t="e">
        <f t="shared" si="0"/>
        <v>#DIV/0!</v>
      </c>
      <c r="F16" s="3611" t="e">
        <f t="shared" si="1"/>
        <v>#DIV/0!</v>
      </c>
      <c r="G16" s="3613"/>
      <c r="H16" s="3613"/>
      <c r="I16" s="3612"/>
      <c r="J16" s="3605"/>
      <c r="K16" s="3605"/>
    </row>
    <row r="17" spans="1:11" ht="15.6">
      <c r="A17" s="3610" t="s">
        <v>1072</v>
      </c>
      <c r="B17" s="3612"/>
      <c r="C17" s="3612"/>
      <c r="D17" s="3612"/>
      <c r="E17" s="3611" t="e">
        <f t="shared" si="0"/>
        <v>#DIV/0!</v>
      </c>
      <c r="F17" s="3611" t="e">
        <f t="shared" si="1"/>
        <v>#DIV/0!</v>
      </c>
      <c r="G17" s="3613"/>
      <c r="H17" s="3613"/>
      <c r="I17" s="3612"/>
      <c r="J17" s="3605"/>
      <c r="K17" s="3605"/>
    </row>
    <row r="18" spans="1:11" ht="15.6">
      <c r="A18" s="3610" t="s">
        <v>1071</v>
      </c>
      <c r="B18" s="3612"/>
      <c r="C18" s="3612"/>
      <c r="D18" s="3612"/>
      <c r="E18" s="3611" t="e">
        <f t="shared" si="0"/>
        <v>#DIV/0!</v>
      </c>
      <c r="F18" s="3611" t="e">
        <f t="shared" si="1"/>
        <v>#DIV/0!</v>
      </c>
      <c r="G18" s="3612"/>
      <c r="H18" s="3612"/>
      <c r="I18" s="3612"/>
      <c r="J18" s="3605"/>
      <c r="K18" s="3605"/>
    </row>
    <row r="19" spans="1:11" ht="15.6">
      <c r="A19" s="3610" t="s">
        <v>1070</v>
      </c>
      <c r="B19" s="3612"/>
      <c r="C19" s="3612"/>
      <c r="D19" s="3612"/>
      <c r="E19" s="3611" t="e">
        <f t="shared" si="0"/>
        <v>#DIV/0!</v>
      </c>
      <c r="F19" s="3611" t="e">
        <f t="shared" si="1"/>
        <v>#DIV/0!</v>
      </c>
      <c r="G19" s="3612"/>
      <c r="H19" s="3612"/>
      <c r="I19" s="3612"/>
      <c r="J19" s="3605"/>
      <c r="K19" s="3605"/>
    </row>
    <row r="20" spans="1:11" ht="15.6">
      <c r="A20" s="3610" t="s">
        <v>1069</v>
      </c>
      <c r="B20" s="3612"/>
      <c r="C20" s="3612"/>
      <c r="D20" s="3612"/>
      <c r="E20" s="3611" t="e">
        <f t="shared" si="0"/>
        <v>#DIV/0!</v>
      </c>
      <c r="F20" s="3611" t="e">
        <f t="shared" si="1"/>
        <v>#DIV/0!</v>
      </c>
      <c r="G20" s="3612"/>
      <c r="H20" s="3612"/>
      <c r="I20" s="3612"/>
      <c r="J20" s="3605"/>
      <c r="K20" s="3605"/>
    </row>
    <row r="21" spans="1:11" ht="15.6">
      <c r="A21" s="3610" t="s">
        <v>1068</v>
      </c>
      <c r="B21" s="3612"/>
      <c r="C21" s="3612"/>
      <c r="D21" s="3612"/>
      <c r="E21" s="3611" t="e">
        <f t="shared" si="0"/>
        <v>#DIV/0!</v>
      </c>
      <c r="F21" s="3611" t="e">
        <f t="shared" si="1"/>
        <v>#DIV/0!</v>
      </c>
      <c r="G21" s="3612"/>
      <c r="H21" s="3612"/>
      <c r="I21" s="3612"/>
      <c r="J21" s="3605"/>
      <c r="K21" s="3605"/>
    </row>
    <row r="22" spans="1:11" ht="15.6">
      <c r="A22" s="3610" t="s">
        <v>1067</v>
      </c>
      <c r="B22" s="3612"/>
      <c r="C22" s="3612"/>
      <c r="D22" s="3612"/>
      <c r="E22" s="3611" t="e">
        <f t="shared" si="0"/>
        <v>#DIV/0!</v>
      </c>
      <c r="F22" s="3611" t="e">
        <f t="shared" si="1"/>
        <v>#DIV/0!</v>
      </c>
      <c r="G22" s="3612"/>
      <c r="H22" s="3612"/>
      <c r="I22" s="3612"/>
      <c r="J22" s="3605"/>
      <c r="K22" s="3605"/>
    </row>
    <row r="23" spans="1:11" ht="15.6">
      <c r="A23" s="3610" t="s">
        <v>1066</v>
      </c>
      <c r="B23" s="3612"/>
      <c r="C23" s="3612"/>
      <c r="D23" s="3612"/>
      <c r="E23" s="3607" t="e">
        <f t="shared" si="0"/>
        <v>#DIV/0!</v>
      </c>
      <c r="F23" s="3607" t="e">
        <f t="shared" si="1"/>
        <v>#DIV/0!</v>
      </c>
      <c r="G23" s="3612"/>
      <c r="H23" s="3612"/>
      <c r="I23" s="3612"/>
      <c r="J23" s="3605"/>
      <c r="K23" s="3605"/>
    </row>
    <row r="24" spans="1:11">
      <c r="A24" s="3605"/>
      <c r="B24" s="3605"/>
      <c r="C24" s="3605"/>
      <c r="D24" s="3605"/>
      <c r="E24" s="3605"/>
      <c r="F24" s="3605"/>
      <c r="G24" s="3605"/>
      <c r="H24" s="3605"/>
      <c r="I24" s="3605"/>
      <c r="J24" s="3605"/>
      <c r="K24" s="3605"/>
    </row>
    <row r="25" spans="1:11">
      <c r="A25" s="3605"/>
      <c r="B25" s="3605"/>
      <c r="C25" s="3605"/>
      <c r="D25" s="3605"/>
      <c r="E25" s="3605"/>
      <c r="F25" s="3605"/>
      <c r="G25" s="3605"/>
      <c r="H25" s="3605"/>
      <c r="I25" s="3605"/>
      <c r="J25" s="3605"/>
      <c r="K25" s="3605"/>
    </row>
    <row r="26" spans="1:11">
      <c r="A26" s="3605"/>
      <c r="B26" s="3605"/>
      <c r="C26" s="3605"/>
      <c r="D26" s="3605"/>
      <c r="E26" s="3605"/>
      <c r="F26" s="3605"/>
      <c r="G26" s="3605"/>
      <c r="H26" s="3605"/>
      <c r="I26" s="3605"/>
      <c r="J26" s="3605"/>
      <c r="K26" s="3605"/>
    </row>
    <row r="30" spans="1:11">
      <c r="A30" s="3709"/>
      <c r="B30" s="3710"/>
      <c r="C30" s="3710"/>
      <c r="D30" s="3712"/>
      <c r="E30" s="3713"/>
      <c r="F30" s="3714"/>
      <c r="G30" s="3714"/>
      <c r="H30" s="3709"/>
      <c r="I30" s="3709"/>
    </row>
    <row r="31" spans="1:11">
      <c r="A31" s="3709"/>
      <c r="B31" s="3711"/>
      <c r="C31" s="3711"/>
      <c r="D31" s="3413"/>
      <c r="E31" s="3413"/>
      <c r="F31" s="3413"/>
      <c r="G31" s="3413"/>
      <c r="H31" s="3413"/>
      <c r="I31" s="3413"/>
    </row>
    <row r="32" spans="1:11">
      <c r="A32" s="3413"/>
      <c r="B32" s="3413"/>
      <c r="C32" s="3413"/>
      <c r="D32" s="3413"/>
      <c r="E32" s="3413"/>
      <c r="F32" s="3413"/>
      <c r="G32" s="3413"/>
      <c r="H32" s="3413"/>
      <c r="I32" s="3413"/>
    </row>
    <row r="33" spans="1:9">
      <c r="A33" s="3413"/>
      <c r="B33" s="3413"/>
      <c r="C33" s="3413"/>
      <c r="D33" s="3413"/>
      <c r="E33" s="3413"/>
      <c r="F33" s="3413"/>
      <c r="G33" s="3413"/>
      <c r="H33" s="3413"/>
      <c r="I33" s="3413"/>
    </row>
    <row r="34" spans="1:9">
      <c r="A34" s="3413"/>
      <c r="B34" s="3413"/>
      <c r="C34" s="3413"/>
      <c r="D34" s="3413"/>
      <c r="E34" s="3413"/>
      <c r="F34" s="3413"/>
      <c r="G34" s="3413"/>
      <c r="H34" s="3413"/>
      <c r="I34" s="3413"/>
    </row>
    <row r="35" spans="1:9">
      <c r="A35" s="3709"/>
      <c r="B35" s="3709"/>
      <c r="C35" s="3709"/>
      <c r="D35" s="3715"/>
      <c r="E35" s="3716"/>
      <c r="F35" s="3715"/>
      <c r="G35" s="3716"/>
      <c r="H35" s="3715"/>
      <c r="I35" s="3716"/>
    </row>
    <row r="39" spans="1:9">
      <c r="A39" s="3709"/>
      <c r="B39" s="3709"/>
      <c r="C39" s="3709"/>
      <c r="D39" s="3715"/>
      <c r="E39" s="3716"/>
      <c r="F39" s="3715"/>
      <c r="G39" s="3716"/>
      <c r="H39" s="3715"/>
      <c r="I39" s="3716"/>
    </row>
  </sheetData>
  <sheetProtection password="CEE9" sheet="1" objects="1" scenarios="1" formatCells="0" formatColumns="0" formatRows="0"/>
  <mergeCells count="14">
    <mergeCell ref="F35:G35"/>
    <mergeCell ref="H35:I35"/>
    <mergeCell ref="A39:C39"/>
    <mergeCell ref="D39:E39"/>
    <mergeCell ref="F39:G39"/>
    <mergeCell ref="H39:I39"/>
    <mergeCell ref="A35:C35"/>
    <mergeCell ref="D35:E35"/>
    <mergeCell ref="H30:I30"/>
    <mergeCell ref="A30:A31"/>
    <mergeCell ref="B30:B31"/>
    <mergeCell ref="C30:C31"/>
    <mergeCell ref="D30:E30"/>
    <mergeCell ref="F30:G30"/>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G37" sqref="G37"/>
    </sheetView>
  </sheetViews>
  <sheetFormatPr defaultColWidth="12.6640625" defaultRowHeight="21.75" customHeight="1"/>
  <cols>
    <col min="1" max="2" width="12.6640625" style="3174"/>
    <col min="3" max="4" width="12.6640625" style="3174" customWidth="1"/>
    <col min="5" max="7" width="12.6640625" style="3174"/>
    <col min="8" max="8" width="14" style="3174" customWidth="1"/>
    <col min="9" max="9" width="12.6640625" style="3174"/>
    <col min="10" max="11" width="12.6640625" style="3172" customWidth="1"/>
    <col min="12" max="12" width="12.6640625" style="3172"/>
    <col min="13" max="13" width="14.109375" style="3172" bestFit="1" customWidth="1"/>
    <col min="14" max="26" width="12.6640625" style="3172"/>
    <col min="27" max="35" width="12.6640625" style="3173"/>
    <col min="36" max="16384" width="12.6640625" style="3174"/>
  </cols>
  <sheetData>
    <row r="1" spans="1:12" ht="21.75" customHeight="1" thickBot="1">
      <c r="A1" s="3087" t="s">
        <v>1708</v>
      </c>
      <c r="B1" s="3167"/>
      <c r="C1" s="3168"/>
      <c r="D1" s="3167"/>
      <c r="E1" s="3167"/>
      <c r="F1" s="3169" t="s">
        <v>1709</v>
      </c>
      <c r="G1" s="3170" t="s">
        <v>3569</v>
      </c>
      <c r="H1" s="3169" t="str">
        <f>IF(G1="现房","——","估价对象范围")</f>
        <v>估价对象范围</v>
      </c>
      <c r="I1" s="3171" t="s">
        <v>3573</v>
      </c>
    </row>
    <row r="2" spans="1:12" ht="21.75" customHeight="1" thickBot="1">
      <c r="A2" s="3774" t="str">
        <f>项目基本情况!S2</f>
        <v>北京市朝阳区金盏乡小店村3005-02地块R2二类居住用地出让国有建设用地使用权及在建建筑物房地产</v>
      </c>
      <c r="B2" s="3775"/>
      <c r="C2" s="3775"/>
      <c r="D2" s="3775"/>
      <c r="E2" s="3775"/>
      <c r="F2" s="3775"/>
      <c r="G2" s="3775"/>
      <c r="H2" s="3775"/>
      <c r="I2" s="3776"/>
    </row>
    <row r="3" spans="1:12" ht="13.2">
      <c r="A3" s="3778" t="s">
        <v>1710</v>
      </c>
      <c r="B3" s="3779"/>
      <c r="C3" s="3779"/>
      <c r="D3" s="3779"/>
      <c r="E3" s="3779"/>
      <c r="F3" s="3779"/>
      <c r="G3" s="3779"/>
      <c r="H3" s="3779"/>
      <c r="I3" s="3779"/>
    </row>
    <row r="4" spans="1:12" ht="14.4">
      <c r="A4" s="3175" t="s">
        <v>1711</v>
      </c>
      <c r="B4" s="3176" t="s">
        <v>1712</v>
      </c>
      <c r="C4" s="3177" t="s">
        <v>3574</v>
      </c>
      <c r="D4" s="3177" t="s">
        <v>3575</v>
      </c>
      <c r="E4" s="3783" t="s">
        <v>1713</v>
      </c>
      <c r="F4" s="3784"/>
      <c r="G4" s="3784"/>
      <c r="H4" s="3784"/>
      <c r="I4" s="3785"/>
      <c r="K4" s="3178" t="str">
        <f>IF(ISNUMBER(FIND("比较法",结果表!C4)),"比较法",IF(ISNUMBER(FIND("成本法",结果表!C4)),"成本法",IF(ISNUMBER(FIND("假设开发法",结果表!C4)),"假设开发法",IF(ISNUMBER(FIND("收益法",结果表!C4)),"收益法","基准地价系数修正法"))))</f>
        <v>成本法</v>
      </c>
      <c r="L4" s="3178" t="str">
        <f>IF(ISNUMBER(FIND("比较法",结果表!D4)),"比较法",IF(ISNUMBER(FIND("成本法",结果表!D4)),"成本法",IF(ISNUMBER(FIND("假设开发法",结果表!D4)),"假设开发法",IF(ISNUMBER(FIND("收益法",结果表!D4)),"收益法","基准地价系数修正法"))))</f>
        <v>假设开发法</v>
      </c>
    </row>
    <row r="5" spans="1:12" ht="13.2">
      <c r="A5" s="3731" t="s">
        <v>1714</v>
      </c>
      <c r="B5" s="3777">
        <v>25</v>
      </c>
      <c r="C5" s="3780">
        <v>20</v>
      </c>
      <c r="D5" s="3769">
        <v>24</v>
      </c>
      <c r="E5" s="2441" t="s">
        <v>1715</v>
      </c>
      <c r="F5" s="3179"/>
      <c r="G5" s="3179"/>
      <c r="H5" s="3179"/>
      <c r="I5" s="3180"/>
    </row>
    <row r="6" spans="1:12" ht="13.2">
      <c r="A6" s="3731"/>
      <c r="B6" s="3777"/>
      <c r="C6" s="3782"/>
      <c r="D6" s="3769"/>
      <c r="E6" s="2441" t="s">
        <v>1716</v>
      </c>
      <c r="F6" s="3179"/>
      <c r="G6" s="3179"/>
      <c r="H6" s="3179"/>
      <c r="I6" s="3180"/>
    </row>
    <row r="7" spans="1:12" ht="13.2">
      <c r="A7" s="3731"/>
      <c r="B7" s="3777"/>
      <c r="C7" s="3781"/>
      <c r="D7" s="3769"/>
      <c r="E7" s="2441" t="s">
        <v>1717</v>
      </c>
      <c r="F7" s="3179"/>
      <c r="G7" s="3179"/>
      <c r="H7" s="3179"/>
      <c r="I7" s="3180"/>
    </row>
    <row r="8" spans="1:12" ht="13.2">
      <c r="A8" s="3731" t="s">
        <v>1718</v>
      </c>
      <c r="B8" s="3777">
        <v>15</v>
      </c>
      <c r="C8" s="3780">
        <v>9</v>
      </c>
      <c r="D8" s="3769">
        <v>14</v>
      </c>
      <c r="E8" s="2441" t="s">
        <v>1719</v>
      </c>
      <c r="F8" s="3179"/>
      <c r="G8" s="3179"/>
      <c r="H8" s="3179"/>
      <c r="I8" s="3180"/>
    </row>
    <row r="9" spans="1:12" ht="13.2">
      <c r="A9" s="3731"/>
      <c r="B9" s="3777"/>
      <c r="C9" s="3781"/>
      <c r="D9" s="3769"/>
      <c r="E9" s="2441" t="s">
        <v>1720</v>
      </c>
      <c r="F9" s="3179"/>
      <c r="G9" s="3179"/>
      <c r="H9" s="3179"/>
      <c r="I9" s="3180"/>
    </row>
    <row r="10" spans="1:12" ht="13.2">
      <c r="A10" s="3731" t="s">
        <v>1721</v>
      </c>
      <c r="B10" s="3777">
        <v>15</v>
      </c>
      <c r="C10" s="3780">
        <v>8</v>
      </c>
      <c r="D10" s="3769">
        <v>14</v>
      </c>
      <c r="E10" s="2441" t="s">
        <v>1722</v>
      </c>
      <c r="F10" s="3179"/>
      <c r="G10" s="3179"/>
      <c r="H10" s="3179"/>
      <c r="I10" s="3180"/>
    </row>
    <row r="11" spans="1:12" ht="13.2">
      <c r="A11" s="3731"/>
      <c r="B11" s="3777"/>
      <c r="C11" s="3781"/>
      <c r="D11" s="3769"/>
      <c r="E11" s="2441" t="s">
        <v>1723</v>
      </c>
      <c r="F11" s="3179"/>
      <c r="G11" s="3179"/>
      <c r="H11" s="3179"/>
      <c r="I11" s="3180"/>
    </row>
    <row r="12" spans="1:12" ht="13.2">
      <c r="A12" s="3731" t="s">
        <v>1724</v>
      </c>
      <c r="B12" s="3777">
        <v>15</v>
      </c>
      <c r="C12" s="3780">
        <v>8</v>
      </c>
      <c r="D12" s="3769">
        <v>14</v>
      </c>
      <c r="E12" s="2441" t="s">
        <v>1725</v>
      </c>
      <c r="F12" s="3179"/>
      <c r="G12" s="3179"/>
      <c r="H12" s="3179"/>
      <c r="I12" s="3180"/>
    </row>
    <row r="13" spans="1:12" ht="13.2">
      <c r="A13" s="3731"/>
      <c r="B13" s="3777"/>
      <c r="C13" s="3781"/>
      <c r="D13" s="3769"/>
      <c r="E13" s="2441" t="s">
        <v>1726</v>
      </c>
      <c r="F13" s="3179"/>
      <c r="G13" s="3179"/>
      <c r="H13" s="3179"/>
      <c r="I13" s="3180"/>
    </row>
    <row r="14" spans="1:12" ht="13.2">
      <c r="A14" s="3731" t="s">
        <v>1727</v>
      </c>
      <c r="B14" s="3777">
        <v>30</v>
      </c>
      <c r="C14" s="3780">
        <v>18</v>
      </c>
      <c r="D14" s="3769">
        <v>27</v>
      </c>
      <c r="E14" s="2441" t="s">
        <v>1728</v>
      </c>
      <c r="F14" s="3179"/>
      <c r="G14" s="3179"/>
      <c r="H14" s="3179"/>
      <c r="I14" s="3180"/>
    </row>
    <row r="15" spans="1:12" ht="13.2">
      <c r="A15" s="3731"/>
      <c r="B15" s="3777"/>
      <c r="C15" s="3782"/>
      <c r="D15" s="3769"/>
      <c r="E15" s="2441" t="s">
        <v>1729</v>
      </c>
      <c r="F15" s="3179"/>
      <c r="G15" s="3179"/>
      <c r="H15" s="3179"/>
      <c r="I15" s="3180"/>
    </row>
    <row r="16" spans="1:12" ht="13.2">
      <c r="A16" s="3731"/>
      <c r="B16" s="3777"/>
      <c r="C16" s="3781"/>
      <c r="D16" s="3769"/>
      <c r="E16" s="2441" t="s">
        <v>1730</v>
      </c>
      <c r="F16" s="3179"/>
      <c r="G16" s="3179"/>
      <c r="H16" s="3179"/>
      <c r="I16" s="3180"/>
    </row>
    <row r="17" spans="1:36" ht="14.4">
      <c r="A17" s="3181" t="s">
        <v>1731</v>
      </c>
      <c r="B17" s="3124"/>
      <c r="C17" s="3182">
        <f>SUM(C5:C16)</f>
        <v>63</v>
      </c>
      <c r="D17" s="3182">
        <f>SUM(D5:D16)</f>
        <v>93</v>
      </c>
      <c r="E17" s="3183"/>
      <c r="F17" s="3183"/>
      <c r="G17" s="3183"/>
      <c r="H17" s="3183"/>
      <c r="I17" s="3183"/>
      <c r="K17" s="3184"/>
      <c r="L17" s="3184" t="s">
        <v>1732</v>
      </c>
      <c r="M17" s="3184" t="s">
        <v>1733</v>
      </c>
    </row>
    <row r="18" spans="1:36" ht="31.95" customHeight="1" thickBot="1">
      <c r="A18" s="3185" t="s">
        <v>1734</v>
      </c>
      <c r="B18" s="3186"/>
      <c r="C18" s="3187">
        <f>ROUND(C17/SUM(C17:D17),2)</f>
        <v>0.4</v>
      </c>
      <c r="D18" s="3187">
        <f>1-C18</f>
        <v>0.6</v>
      </c>
      <c r="E18" s="3799" t="s">
        <v>2630</v>
      </c>
      <c r="F18" s="3800"/>
      <c r="G18" s="3800"/>
      <c r="H18" s="3800"/>
      <c r="I18" s="3800"/>
      <c r="K18" s="3184" t="s">
        <v>1735</v>
      </c>
      <c r="L18" s="3184">
        <f>IF(C1="",'数据-汇总表'!E3,SUMIF(项目类型,C1,'数据-汇总表'!E17:E26)+SUMIF(项目类型,C1,'数据-汇总表'!I17:I26))</f>
        <v>122002.77</v>
      </c>
      <c r="M18" s="3184">
        <f>IF(C1="",'数据-汇总表'!E3,SUMIF(项目类型,C1,'数据-汇总表'!E17:E26))</f>
        <v>122002.77</v>
      </c>
    </row>
    <row r="19" spans="1:36" ht="14.4">
      <c r="A19" s="3188" t="s">
        <v>1736</v>
      </c>
      <c r="B19" s="3189" t="s">
        <v>1737</v>
      </c>
      <c r="C19" s="3190">
        <f ca="1">SUMIF(INDIRECT("'"&amp;C4&amp;"'"&amp;"!A:A"),结果表!B19,INDIRECT("'"&amp;C4&amp;"'"&amp;"!B:B"))</f>
        <v>523451</v>
      </c>
      <c r="D19" s="2619">
        <f ca="1">SUMIF(INDIRECT("'"&amp;D4&amp;"'"&amp;"!A:A"),结果表!B19,INDIRECT("'"&amp;D4&amp;"'"&amp;"!B:B"))</f>
        <v>462141</v>
      </c>
      <c r="E19" s="3188" t="s">
        <v>1738</v>
      </c>
      <c r="F19" s="3189" t="s">
        <v>1737</v>
      </c>
      <c r="G19" s="3191">
        <f ca="1">ROUND(C19*$C$18+D19*$D$18,0)</f>
        <v>486665</v>
      </c>
      <c r="H19" s="3192" t="s">
        <v>1739</v>
      </c>
      <c r="I19" s="3183"/>
      <c r="K19" s="3184" t="s">
        <v>1740</v>
      </c>
      <c r="L19" s="3184">
        <f>IF(C1="",'数据-汇总表'!D3,SUMIF(项目类型,C1,'数据-汇总表'!D17:D26)+SUMIF(项目类型,C1,'数据-汇总表'!H17:H27))</f>
        <v>52221.18</v>
      </c>
      <c r="M19" s="3184">
        <f>IF(C1="",'数据-汇总表'!D3,SUMIF(项目类型,C1,'数据-汇总表'!D17:D26))</f>
        <v>52221.18</v>
      </c>
    </row>
    <row r="20" spans="1:36" ht="14.4">
      <c r="A20" s="3193"/>
      <c r="B20" s="3097" t="s">
        <v>1741</v>
      </c>
      <c r="C20" s="2895">
        <f ca="1">SUMIF(INDIRECT("'"&amp;C4&amp;"'"&amp;"!A:A"),结果表!B20,INDIRECT("'"&amp;C4&amp;"'"&amp;"!B:B"))</f>
        <v>42905</v>
      </c>
      <c r="D20" s="2898">
        <f ca="1">SUMIF(INDIRECT("'"&amp;D4&amp;"'"&amp;"!A:A"),结果表!B20,INDIRECT("'"&amp;D4&amp;"'"&amp;"!B:B"))</f>
        <v>37880</v>
      </c>
      <c r="E20" s="3193"/>
      <c r="F20" s="3097" t="s">
        <v>1741</v>
      </c>
      <c r="G20" s="3194">
        <f ca="1">ROUND(C20*$C$18+D20*$D$18,0)</f>
        <v>39890</v>
      </c>
      <c r="H20" s="3195" t="s">
        <v>1742</v>
      </c>
      <c r="I20" s="3183"/>
    </row>
    <row r="21" spans="1:36" ht="15" customHeight="1" thickBot="1">
      <c r="A21" s="2827"/>
      <c r="B21" s="3196" t="s">
        <v>1743</v>
      </c>
      <c r="C21" s="3197">
        <f ca="1">ROUND(C19*10000/L19,0)</f>
        <v>100237</v>
      </c>
      <c r="D21" s="3072">
        <f ca="1">ROUND(D19*10000/L19,0)</f>
        <v>88497</v>
      </c>
      <c r="E21" s="2827"/>
      <c r="F21" s="3196" t="s">
        <v>1743</v>
      </c>
      <c r="G21" s="3198">
        <f ca="1">ROUND(G19*10000/L19,0)</f>
        <v>93193</v>
      </c>
      <c r="H21" s="3199" t="s">
        <v>1742</v>
      </c>
      <c r="I21" s="3183"/>
    </row>
    <row r="22" spans="1:36" ht="15" thickBot="1">
      <c r="A22" s="2941" t="s">
        <v>1744</v>
      </c>
      <c r="B22" s="3200"/>
      <c r="C22" s="3201"/>
      <c r="D22" s="3202">
        <f ca="1">IF(C19&lt;D19,D19/C19-1,C19/D19-1)</f>
        <v>0.13266513899437626</v>
      </c>
      <c r="E22" s="3183"/>
      <c r="F22" s="3183"/>
      <c r="G22" s="3183"/>
      <c r="H22" s="3183"/>
      <c r="I22" s="3183"/>
      <c r="K22" s="3172">
        <f ca="1">G19</f>
        <v>486665</v>
      </c>
    </row>
    <row r="23" spans="1:36" ht="13.8" thickBot="1">
      <c r="A23" s="3167"/>
      <c r="B23" s="3167"/>
      <c r="C23" s="3167"/>
      <c r="D23" s="3167"/>
      <c r="E23" s="3183"/>
      <c r="F23" s="3183"/>
      <c r="G23" s="3183"/>
      <c r="H23" s="3183"/>
      <c r="I23" s="3183"/>
      <c r="K23" s="3172">
        <f>[3]系统读取表!$H$34</f>
        <v>479037</v>
      </c>
    </row>
    <row r="24" spans="1:36" ht="14.4">
      <c r="A24" s="3792" t="s">
        <v>1745</v>
      </c>
      <c r="B24" s="3189" t="s">
        <v>1737</v>
      </c>
      <c r="C24" s="3191">
        <f>IF(B30=0,0,D30)</f>
        <v>0</v>
      </c>
      <c r="D24" s="3203"/>
      <c r="E24" s="3183"/>
      <c r="F24" s="3183"/>
      <c r="G24" s="3183"/>
      <c r="H24" s="3183"/>
      <c r="I24" s="3183"/>
      <c r="K24" s="3172">
        <f ca="1">K22-K23</f>
        <v>7628</v>
      </c>
    </row>
    <row r="25" spans="1:36" ht="14.4">
      <c r="A25" s="3793"/>
      <c r="B25" s="3097" t="s">
        <v>1741</v>
      </c>
      <c r="C25" s="3204">
        <f>IF(B30=0,0,C30)</f>
        <v>0</v>
      </c>
      <c r="D25" s="3205"/>
      <c r="E25" s="3183"/>
      <c r="F25" s="3183"/>
      <c r="G25" s="3183"/>
      <c r="H25" s="3183"/>
      <c r="I25" s="3183"/>
    </row>
    <row r="26" spans="1:36" ht="13.5" customHeight="1">
      <c r="A26" s="3206" t="s">
        <v>1746</v>
      </c>
      <c r="B26" s="3207" t="s">
        <v>1747</v>
      </c>
      <c r="C26" s="3207" t="s">
        <v>1748</v>
      </c>
      <c r="D26" s="3208" t="s">
        <v>1749</v>
      </c>
      <c r="E26" s="3183"/>
      <c r="F26" s="3183"/>
      <c r="G26" s="3183"/>
      <c r="H26" s="3183"/>
      <c r="I26" s="3183"/>
    </row>
    <row r="27" spans="1:36" ht="13.8">
      <c r="A27" s="3206"/>
      <c r="B27" s="3207">
        <v>0</v>
      </c>
      <c r="C27" s="3207">
        <v>0</v>
      </c>
      <c r="D27" s="3208">
        <f>ROUND(C27*B27/10000,0)</f>
        <v>0</v>
      </c>
      <c r="E27" s="3183"/>
      <c r="F27" s="3183"/>
      <c r="G27" s="3183"/>
      <c r="H27" s="3183"/>
      <c r="I27" s="3183"/>
    </row>
    <row r="28" spans="1:36" ht="13.8">
      <c r="A28" s="3206"/>
      <c r="B28" s="3207"/>
      <c r="C28" s="3207"/>
      <c r="D28" s="3208"/>
      <c r="E28" s="3183"/>
      <c r="F28" s="3183"/>
      <c r="G28" s="3183"/>
      <c r="H28" s="3183"/>
      <c r="I28" s="3183"/>
    </row>
    <row r="29" spans="1:36" ht="13.8">
      <c r="A29" s="3206"/>
      <c r="B29" s="3207"/>
      <c r="C29" s="3207"/>
      <c r="D29" s="3208"/>
      <c r="E29" s="3183"/>
      <c r="F29" s="3183"/>
      <c r="G29" s="3183"/>
      <c r="H29" s="3183"/>
      <c r="I29" s="3183"/>
    </row>
    <row r="30" spans="1:36" ht="15" thickBot="1">
      <c r="A30" s="3207" t="s">
        <v>1750</v>
      </c>
      <c r="B30" s="3207"/>
      <c r="C30" s="3207"/>
      <c r="D30" s="3207"/>
      <c r="E30" s="3209" t="s">
        <v>2631</v>
      </c>
      <c r="F30" s="3183"/>
      <c r="G30" s="3183"/>
      <c r="H30" s="3183"/>
      <c r="I30" s="3183"/>
    </row>
    <row r="31" spans="1:36" s="3216" customFormat="1" ht="26.4" customHeight="1" thickTop="1" thickBot="1">
      <c r="A31" s="3210"/>
      <c r="B31" s="3211"/>
      <c r="C31" s="3211"/>
      <c r="D31" s="3211"/>
      <c r="E31" s="3211"/>
      <c r="F31" s="3211"/>
      <c r="G31" s="3211"/>
      <c r="H31" s="3211"/>
      <c r="I31" s="3212" t="s">
        <v>2632</v>
      </c>
      <c r="J31" s="3213"/>
      <c r="K31" s="3214"/>
      <c r="L31" s="3214"/>
      <c r="M31" s="3214"/>
      <c r="N31" s="3214"/>
      <c r="O31" s="3214"/>
      <c r="P31" s="3214"/>
      <c r="Q31" s="3214"/>
      <c r="R31" s="3214"/>
      <c r="S31" s="3214"/>
      <c r="T31" s="3214"/>
      <c r="U31" s="3214"/>
      <c r="V31" s="3214"/>
      <c r="W31" s="3214"/>
      <c r="X31" s="3214"/>
      <c r="Y31" s="3214"/>
      <c r="Z31" s="3214"/>
      <c r="AA31" s="3214"/>
      <c r="AB31" s="3215"/>
      <c r="AC31" s="3215"/>
      <c r="AD31" s="3215"/>
      <c r="AE31" s="3215"/>
      <c r="AF31" s="3215"/>
      <c r="AG31" s="3215"/>
      <c r="AH31" s="3215"/>
      <c r="AI31" s="3215"/>
      <c r="AJ31" s="3215"/>
    </row>
    <row r="32" spans="1:36" ht="15.6" thickTop="1" thickBot="1">
      <c r="A32" s="3217" t="s">
        <v>1751</v>
      </c>
      <c r="B32" s="3218"/>
      <c r="C32" s="3219">
        <f ca="1">IF(D32="总价",G19-C24,G20-C25)</f>
        <v>486665</v>
      </c>
      <c r="D32" s="3220" t="s">
        <v>3576</v>
      </c>
      <c r="E32" s="3183"/>
      <c r="F32" s="3183"/>
      <c r="G32" s="3183"/>
      <c r="H32" s="3183"/>
      <c r="I32" s="3183"/>
    </row>
    <row r="33" spans="1:15" ht="14.4">
      <c r="A33" s="3221" t="s">
        <v>1752</v>
      </c>
      <c r="B33" s="3222"/>
      <c r="C33" s="3223" t="s">
        <v>3589</v>
      </c>
      <c r="D33" s="3224" t="s">
        <v>3574</v>
      </c>
      <c r="E33" s="3225" t="s">
        <v>1753</v>
      </c>
      <c r="F33" s="3226" t="str">
        <f>IF(D32="楼面单价","取值（单价）","取值（总价）")</f>
        <v>取值（总价）</v>
      </c>
      <c r="G33" s="3183"/>
      <c r="H33" s="3183"/>
      <c r="I33" s="3183"/>
    </row>
    <row r="34" spans="1:15" ht="14.4">
      <c r="A34" s="3227"/>
      <c r="B34" s="3228" t="s">
        <v>1754</v>
      </c>
      <c r="C34" s="3229">
        <f ca="1">IF(C33="自定义",F34,C32-C35)</f>
        <v>456545</v>
      </c>
      <c r="D34" s="3230">
        <f ca="1">IF(C33="自定义",ROUND(C34/C32,3),IF(C33="收益比率",SUMIF(INDIRECT("'"&amp;D33&amp;"'"&amp;"!b:b"),"土地收益比率",INDIRECT("'"&amp;D33&amp;"'"&amp;"!c:c")),SUMIF(INDIRECT("'"&amp;D33&amp;"'"&amp;"!b:b"),"土地成本比率",INDIRECT("'"&amp;D33&amp;"'"&amp;"!c:c"))))</f>
        <v>0.93799999999999994</v>
      </c>
      <c r="E34" s="3231" t="s">
        <v>1755</v>
      </c>
      <c r="F34" s="3232">
        <f ca="1">G19-F35</f>
        <v>456545</v>
      </c>
      <c r="G34" s="3183"/>
      <c r="H34" s="3183"/>
      <c r="I34" s="3183"/>
    </row>
    <row r="35" spans="1:15" ht="15" thickBot="1">
      <c r="A35" s="3233"/>
      <c r="B35" s="3234" t="s">
        <v>1756</v>
      </c>
      <c r="C35" s="3235">
        <f ca="1">IF(C33="自定义",F35,ROUND(C32*D35,0))</f>
        <v>30120</v>
      </c>
      <c r="D35" s="3156">
        <f ca="1">IF(C33="自定义",ROUND(C35/C32,3),IF(C33="收益比率",SUMIF(INDIRECT("'"&amp;D33&amp;"'"&amp;"!b:b"),"建筑物收益比率",INDIRECT("'"&amp;D33&amp;"'"&amp;"!c:c")),SUMIF(INDIRECT("'"&amp;D33&amp;"'"&amp;"!b:b"),"建筑物成本比率",INDIRECT("'"&amp;D33&amp;"'"&amp;"!c:c"))))</f>
        <v>6.2E-2</v>
      </c>
      <c r="E35" s="3236" t="s">
        <v>1757</v>
      </c>
      <c r="F35" s="3237">
        <f ca="1">成本法!C51</f>
        <v>30120</v>
      </c>
      <c r="G35" s="3183"/>
      <c r="H35" s="3183"/>
      <c r="I35" s="3183"/>
    </row>
    <row r="36" spans="1:15" ht="15" thickBot="1">
      <c r="A36" s="3770" t="s">
        <v>1758</v>
      </c>
      <c r="B36" s="3238" t="s">
        <v>1759</v>
      </c>
      <c r="C36" s="3239"/>
      <c r="D36" s="3240"/>
      <c r="E36" s="3241"/>
      <c r="F36" s="3242"/>
      <c r="G36" s="3183"/>
      <c r="H36" s="3183"/>
      <c r="I36" s="3183"/>
    </row>
    <row r="37" spans="1:15" ht="15" thickBot="1">
      <c r="A37" s="3771"/>
      <c r="B37" s="3158" t="s">
        <v>1760</v>
      </c>
      <c r="C37" s="3243"/>
      <c r="D37" s="3088"/>
      <c r="E37" s="3088"/>
      <c r="F37" s="3242"/>
      <c r="G37" s="3183"/>
      <c r="H37" s="3183"/>
      <c r="I37" s="3183"/>
    </row>
    <row r="38" spans="1:15" ht="15" thickBot="1">
      <c r="A38" s="3772"/>
      <c r="B38" s="3244" t="s">
        <v>1761</v>
      </c>
      <c r="C38" s="3245"/>
      <c r="D38" s="3246" t="s">
        <v>1762</v>
      </c>
      <c r="E38" s="3088"/>
      <c r="F38" s="3242"/>
      <c r="G38" s="3183"/>
      <c r="H38" s="3183"/>
      <c r="I38" s="3183"/>
    </row>
    <row r="39" spans="1:15" ht="14.4">
      <c r="A39" s="3193" t="s">
        <v>1763</v>
      </c>
      <c r="B39" s="3247" t="s">
        <v>1764</v>
      </c>
      <c r="C39" s="3248" t="s">
        <v>1765</v>
      </c>
      <c r="D39" s="3248" t="s">
        <v>1766</v>
      </c>
      <c r="E39" s="3249" t="s">
        <v>1767</v>
      </c>
      <c r="F39" s="3242"/>
      <c r="G39" s="3183"/>
      <c r="H39" s="3183"/>
      <c r="I39" s="3183"/>
    </row>
    <row r="40" spans="1:15" ht="13.8">
      <c r="A40" s="3250" t="s">
        <v>1768</v>
      </c>
      <c r="B40" s="3251"/>
      <c r="C40" s="3252"/>
      <c r="D40" s="3252"/>
      <c r="E40" s="3059"/>
      <c r="F40" s="3242"/>
      <c r="G40" s="3183"/>
      <c r="H40" s="3183"/>
      <c r="I40" s="3183"/>
    </row>
    <row r="41" spans="1:15" ht="13.8">
      <c r="A41" s="3250" t="s">
        <v>1769</v>
      </c>
      <c r="B41" s="3251"/>
      <c r="C41" s="3252"/>
      <c r="D41" s="3252"/>
      <c r="E41" s="3059"/>
      <c r="F41" s="3242"/>
      <c r="G41" s="3183"/>
      <c r="H41" s="3183"/>
      <c r="I41" s="3183"/>
    </row>
    <row r="42" spans="1:15" ht="14.4" thickBot="1">
      <c r="A42" s="3253"/>
      <c r="B42" s="3254"/>
      <c r="C42" s="3255"/>
      <c r="D42" s="3255"/>
      <c r="E42" s="3237"/>
      <c r="F42" s="3242"/>
      <c r="G42" s="3183"/>
      <c r="H42" s="3183"/>
      <c r="I42" s="3183"/>
    </row>
    <row r="43" spans="1:15" ht="13.2">
      <c r="A43" s="2462"/>
      <c r="B43" s="2462"/>
      <c r="C43" s="2462"/>
      <c r="D43" s="2462"/>
      <c r="E43" s="2462"/>
      <c r="F43" s="3256"/>
      <c r="G43" s="3256"/>
      <c r="H43" s="3256"/>
      <c r="I43" s="3257"/>
    </row>
    <row r="44" spans="1:15" ht="17.399999999999999">
      <c r="A44" s="3258" t="s">
        <v>1770</v>
      </c>
      <c r="B44" s="3259"/>
      <c r="C44" s="3259"/>
      <c r="D44" s="3260"/>
      <c r="E44" s="3260"/>
      <c r="F44" s="3261"/>
      <c r="G44" s="3261"/>
      <c r="H44" s="3261"/>
      <c r="I44" s="3261"/>
      <c r="J44" s="3262" t="s">
        <v>1771</v>
      </c>
      <c r="K44" s="3263"/>
      <c r="L44" s="3263"/>
      <c r="M44" s="3263"/>
      <c r="N44" s="3263"/>
      <c r="O44" s="3263"/>
    </row>
    <row r="45" spans="1:15" ht="14.25" customHeight="1" thickBot="1">
      <c r="A45" s="3789" t="s">
        <v>1772</v>
      </c>
      <c r="B45" s="3790"/>
      <c r="C45" s="3791"/>
      <c r="D45" s="3264">
        <f ca="1">ROUND(H101*F45,0)</f>
        <v>486665</v>
      </c>
      <c r="E45" s="3265" t="s">
        <v>1773</v>
      </c>
      <c r="F45" s="3266">
        <v>1</v>
      </c>
      <c r="G45" s="3267" t="s">
        <v>1774</v>
      </c>
      <c r="H45" s="3183"/>
      <c r="I45" s="3183"/>
      <c r="J45" s="3719" t="s">
        <v>1775</v>
      </c>
      <c r="K45" s="3719"/>
      <c r="L45" s="3719"/>
      <c r="M45" s="3719"/>
      <c r="N45" s="3719"/>
      <c r="O45" s="3719"/>
    </row>
    <row r="46" spans="1:15" ht="14.25" customHeight="1">
      <c r="A46" s="3786" t="s">
        <v>1776</v>
      </c>
      <c r="B46" s="3787"/>
      <c r="C46" s="3787"/>
      <c r="D46" s="3787"/>
      <c r="E46" s="3787"/>
      <c r="F46" s="3787"/>
      <c r="G46" s="3788"/>
      <c r="H46" s="2928"/>
      <c r="I46" s="2928"/>
      <c r="J46" s="3268">
        <v>1</v>
      </c>
      <c r="K46" s="3720" t="s">
        <v>1777</v>
      </c>
      <c r="L46" s="3720"/>
      <c r="M46" s="3721"/>
      <c r="N46" s="3721"/>
      <c r="O46" s="3721"/>
    </row>
    <row r="47" spans="1:15" ht="12" customHeight="1">
      <c r="A47" s="3269" t="s">
        <v>1778</v>
      </c>
      <c r="B47" s="3270"/>
      <c r="C47" s="3271"/>
      <c r="D47" s="3272" t="s">
        <v>1779</v>
      </c>
      <c r="E47" s="3184" t="s">
        <v>1780</v>
      </c>
      <c r="F47" s="3273" t="s">
        <v>1781</v>
      </c>
      <c r="G47" s="3274" t="s">
        <v>1782</v>
      </c>
      <c r="H47" s="3275"/>
      <c r="I47" s="2928"/>
      <c r="J47" s="3268">
        <v>2</v>
      </c>
      <c r="K47" s="3720" t="s">
        <v>1783</v>
      </c>
      <c r="L47" s="3720"/>
      <c r="M47" s="3722">
        <f>'数据-取费表'!B2</f>
        <v>44775</v>
      </c>
      <c r="N47" s="3722"/>
      <c r="O47" s="3722"/>
    </row>
    <row r="48" spans="1:15" ht="26.4">
      <c r="A48" s="3773" t="s">
        <v>1784</v>
      </c>
      <c r="B48" s="3730"/>
      <c r="C48" s="3730"/>
      <c r="D48" s="3276" t="b">
        <f>IF(H48="情况1",0,IF(H48="情况2",D52,IF(H48="情况3",D53,IF(H48="情况4",D54))))</f>
        <v>0</v>
      </c>
      <c r="E48" s="3277" t="str">
        <f>IF(H48="情况4","(销售额-原购置价)×税（费）率","销售额×税（费）率")</f>
        <v>销售额×税（费）率</v>
      </c>
      <c r="F48" s="3278">
        <f>IF(H48="情况1","免征",'数据-取费表'!B41)</f>
        <v>5.6000000000000001E-2</v>
      </c>
      <c r="G48" s="3279" t="s">
        <v>1785</v>
      </c>
      <c r="H48" s="3280"/>
      <c r="I48" s="2928"/>
      <c r="J48" s="3268">
        <v>3</v>
      </c>
      <c r="K48" s="3720" t="s">
        <v>1786</v>
      </c>
      <c r="L48" s="3720"/>
      <c r="M48" s="3722">
        <f ca="1">H101</f>
        <v>486665</v>
      </c>
      <c r="N48" s="3722"/>
      <c r="O48" s="3722"/>
    </row>
    <row r="49" spans="1:35" ht="25.5" customHeight="1">
      <c r="A49" s="3281" t="s">
        <v>1787</v>
      </c>
      <c r="B49" s="3757" t="s">
        <v>1788</v>
      </c>
      <c r="C49" s="3757"/>
      <c r="D49" s="3282">
        <v>0</v>
      </c>
      <c r="E49" s="3283" t="s">
        <v>1789</v>
      </c>
      <c r="F49" s="3284" t="s">
        <v>34</v>
      </c>
      <c r="G49" s="3746"/>
      <c r="H49" s="3285" t="s">
        <v>2633</v>
      </c>
      <c r="I49" s="3286"/>
      <c r="J49" s="3268">
        <v>4</v>
      </c>
      <c r="K49" s="3720" t="str">
        <f>IF(项目基本情况!E8="房地产抵押价值","房地产抵押价值","抵押担保权已注销时的房地产抵押价值")</f>
        <v>房地产抵押价值</v>
      </c>
      <c r="L49" s="3720"/>
      <c r="M49" s="3722">
        <f ca="1">IF(项目基本情况!E8="房地产抵押价值",H107,H109)</f>
        <v>486665</v>
      </c>
      <c r="N49" s="3722"/>
      <c r="O49" s="3722"/>
    </row>
    <row r="50" spans="1:35" ht="25.5" customHeight="1">
      <c r="A50" s="3287"/>
      <c r="B50" s="3757" t="s">
        <v>1790</v>
      </c>
      <c r="C50" s="3757"/>
      <c r="D50" s="3288"/>
      <c r="E50" s="3289"/>
      <c r="F50" s="3284"/>
      <c r="G50" s="3747"/>
      <c r="H50" s="3286" t="s">
        <v>2634</v>
      </c>
      <c r="I50" s="3286"/>
      <c r="J50" s="3719" t="s">
        <v>1791</v>
      </c>
      <c r="K50" s="3719"/>
      <c r="L50" s="3719"/>
      <c r="M50" s="3719"/>
      <c r="N50" s="3719"/>
      <c r="O50" s="3719"/>
    </row>
    <row r="51" spans="1:35" ht="20.399999999999999" customHeight="1">
      <c r="A51" s="3290"/>
      <c r="B51" s="3757" t="s">
        <v>1792</v>
      </c>
      <c r="C51" s="3757"/>
      <c r="D51" s="3272"/>
      <c r="E51" s="3291"/>
      <c r="F51" s="3284"/>
      <c r="G51" s="3748"/>
      <c r="H51" s="3286" t="s">
        <v>2635</v>
      </c>
      <c r="I51" s="3286"/>
      <c r="J51" s="3292" t="s">
        <v>1793</v>
      </c>
      <c r="K51" s="3720" t="s">
        <v>1794</v>
      </c>
      <c r="L51" s="3720"/>
      <c r="M51" s="3292" t="s">
        <v>1795</v>
      </c>
      <c r="N51" s="3292" t="s">
        <v>1796</v>
      </c>
      <c r="O51" s="3292" t="s">
        <v>1797</v>
      </c>
    </row>
    <row r="52" spans="1:35" ht="24" customHeight="1">
      <c r="A52" s="3293" t="s">
        <v>1798</v>
      </c>
      <c r="B52" s="3757" t="s">
        <v>1799</v>
      </c>
      <c r="C52" s="3757"/>
      <c r="D52" s="3272">
        <f ca="1">ROUND(D45*'数据-取费表'!B41/(1+'数据-取费表'!C42),0)</f>
        <v>25955</v>
      </c>
      <c r="E52" s="3277" t="s">
        <v>1800</v>
      </c>
      <c r="F52" s="3184">
        <f>'数据-取费表'!B41</f>
        <v>5.6000000000000001E-2</v>
      </c>
      <c r="G52" s="3274"/>
      <c r="H52" s="3275"/>
      <c r="I52" s="2928"/>
      <c r="J52" s="3268">
        <v>1</v>
      </c>
      <c r="K52" s="3740" t="s">
        <v>1801</v>
      </c>
      <c r="L52" s="3740"/>
      <c r="M52" s="3294" t="b">
        <f>D48</f>
        <v>0</v>
      </c>
      <c r="N52" s="3268" t="str">
        <f>E48</f>
        <v>销售额×税（费）率</v>
      </c>
      <c r="O52" s="3295">
        <f>F48</f>
        <v>5.6000000000000001E-2</v>
      </c>
    </row>
    <row r="53" spans="1:35" ht="12" customHeight="1">
      <c r="A53" s="3293" t="s">
        <v>1802</v>
      </c>
      <c r="B53" s="3756" t="s">
        <v>2786</v>
      </c>
      <c r="C53" s="3763"/>
      <c r="D53" s="3272">
        <f ca="1">ROUND(D45*'数据-取费表'!B41/(1+'数据-取费表'!C42),0)</f>
        <v>25955</v>
      </c>
      <c r="E53" s="3277" t="s">
        <v>1800</v>
      </c>
      <c r="F53" s="3184">
        <f>'数据-取费表'!B41</f>
        <v>5.6000000000000001E-2</v>
      </c>
      <c r="G53" s="3274"/>
      <c r="H53" s="3275"/>
      <c r="I53" s="2928"/>
      <c r="J53" s="3268">
        <v>2</v>
      </c>
      <c r="K53" s="3740" t="s">
        <v>1803</v>
      </c>
      <c r="L53" s="3740"/>
      <c r="M53" s="3294">
        <f t="shared" ref="M53:O54" ca="1" si="0">D55</f>
        <v>243</v>
      </c>
      <c r="N53" s="3268" t="str">
        <f t="shared" si="0"/>
        <v>销售额×税（费）率</v>
      </c>
      <c r="O53" s="3295" t="str">
        <f t="shared" si="0"/>
        <v>免征</v>
      </c>
    </row>
    <row r="54" spans="1:35" ht="12" customHeight="1">
      <c r="A54" s="3293" t="s">
        <v>1804</v>
      </c>
      <c r="B54" s="3756" t="s">
        <v>2787</v>
      </c>
      <c r="C54" s="3763"/>
      <c r="D54" s="3272">
        <f ca="1">C68</f>
        <v>25955</v>
      </c>
      <c r="E54" s="3291" t="s">
        <v>1805</v>
      </c>
      <c r="F54" s="3184">
        <f>'数据-取费表'!B41</f>
        <v>5.6000000000000001E-2</v>
      </c>
      <c r="G54" s="3274"/>
      <c r="H54" s="3296"/>
      <c r="I54" s="2928"/>
      <c r="J54" s="3268">
        <v>3</v>
      </c>
      <c r="K54" s="3740" t="s">
        <v>1806</v>
      </c>
      <c r="L54" s="3740"/>
      <c r="M54" s="3294">
        <f t="shared" ca="1" si="0"/>
        <v>275452</v>
      </c>
      <c r="N54" s="3268" t="str">
        <f t="shared" si="0"/>
        <v>增值额×税（费）率</v>
      </c>
      <c r="O54" s="3295" t="str">
        <f t="shared" si="0"/>
        <v>免征</v>
      </c>
    </row>
    <row r="55" spans="1:35" ht="24" customHeight="1">
      <c r="A55" s="3795" t="s">
        <v>1807</v>
      </c>
      <c r="B55" s="3730"/>
      <c r="C55" s="3730"/>
      <c r="D55" s="3276">
        <f ca="1">IF(H55="个人住宅",0,ROUND(D45*I55,0))</f>
        <v>243</v>
      </c>
      <c r="E55" s="3277" t="s">
        <v>1808</v>
      </c>
      <c r="F55" s="3184" t="str">
        <f>IF(H55="正常",I55,"免征")</f>
        <v>免征</v>
      </c>
      <c r="G55" s="3274"/>
      <c r="H55" s="3280"/>
      <c r="I55" s="3297">
        <f>'数据-取费表'!B49</f>
        <v>5.0000000000000001E-4</v>
      </c>
      <c r="J55" s="3268">
        <f>IF(H59="非个人房产","",4)</f>
        <v>4</v>
      </c>
      <c r="K55" s="3740" t="str">
        <f>IF(H59="非个人房产","——","个人所得税")</f>
        <v>个人所得税</v>
      </c>
      <c r="L55" s="3740"/>
      <c r="M55" s="3298">
        <f ca="1">D59</f>
        <v>4635</v>
      </c>
      <c r="N55" s="3299" t="str">
        <f>E59</f>
        <v>差额计税</v>
      </c>
      <c r="O55" s="3300">
        <f>F59</f>
        <v>0.01</v>
      </c>
    </row>
    <row r="56" spans="1:35" ht="25.2">
      <c r="A56" s="3795" t="s">
        <v>1809</v>
      </c>
      <c r="B56" s="3730"/>
      <c r="C56" s="3730"/>
      <c r="D56" s="3276">
        <f ca="1">IF(H56="个人住宅",D57,D58)</f>
        <v>275452</v>
      </c>
      <c r="E56" s="3277" t="s">
        <v>1810</v>
      </c>
      <c r="F56" s="3184" t="str">
        <f>IF(H56="正常",F58,"免征")</f>
        <v>免征</v>
      </c>
      <c r="G56" s="3301" t="s">
        <v>1811</v>
      </c>
      <c r="H56" s="3302"/>
      <c r="I56" s="3303"/>
      <c r="J56" s="3268" t="str">
        <f>IF(项目基本情况!K6="上海银行",IF(J55="",4,J55+1),"")</f>
        <v/>
      </c>
      <c r="K56" s="3725" t="str">
        <f>IF(项目基本情况!K6="上海银行","其他处置费用","")</f>
        <v/>
      </c>
      <c r="L56" s="3726"/>
      <c r="M56" s="3294" t="str">
        <f>IF(项目基本情况!K6="上海银行",M69,"")</f>
        <v/>
      </c>
      <c r="N56" s="3725" t="str">
        <f>IF(项目基本情况!K6="上海银行","包含处置中涉及的律师、诉讼、拍卖、评估等费用","")</f>
        <v/>
      </c>
      <c r="O56" s="3728"/>
    </row>
    <row r="57" spans="1:35" ht="13.2">
      <c r="A57" s="3293" t="s">
        <v>1787</v>
      </c>
      <c r="B57" s="3756" t="s">
        <v>1812</v>
      </c>
      <c r="C57" s="3763"/>
      <c r="D57" s="3282">
        <v>0</v>
      </c>
      <c r="E57" s="3283" t="s">
        <v>1789</v>
      </c>
      <c r="F57" s="3184"/>
      <c r="G57" s="3274"/>
      <c r="H57" s="3304"/>
      <c r="I57" s="3303"/>
      <c r="J57" s="3740">
        <f>IF(AND(J55="",J56=""),4,IF(项目基本情况!K6="上海银行",结果表!J56+1,结果表!J55+1))</f>
        <v>5</v>
      </c>
      <c r="K57" s="3740" t="s">
        <v>1813</v>
      </c>
      <c r="L57" s="3305" t="s">
        <v>1814</v>
      </c>
      <c r="M57" s="3306"/>
      <c r="N57" s="3307">
        <f ca="1">SUMIF(M52:M56,"&lt;9e307")</f>
        <v>280330</v>
      </c>
      <c r="O57" s="3308"/>
      <c r="P57" s="3183">
        <f ca="1">N57/M49</f>
        <v>0.57602252062507064</v>
      </c>
    </row>
    <row r="58" spans="1:35" ht="25.2">
      <c r="A58" s="3293" t="s">
        <v>1798</v>
      </c>
      <c r="B58" s="3756" t="s">
        <v>1815</v>
      </c>
      <c r="C58" s="3757"/>
      <c r="D58" s="3276">
        <f ca="1">IF(H58="转让取得",C81,C97)</f>
        <v>275452</v>
      </c>
      <c r="E58" s="3277" t="s">
        <v>1810</v>
      </c>
      <c r="F58" s="3184" t="s">
        <v>34</v>
      </c>
      <c r="G58" s="3274"/>
      <c r="H58" s="3302"/>
      <c r="I58" s="3303"/>
      <c r="J58" s="3740"/>
      <c r="K58" s="3740"/>
      <c r="L58" s="3305" t="s">
        <v>1816</v>
      </c>
      <c r="M58" s="3309"/>
      <c r="N58" s="3310" t="str">
        <f ca="1">NUMBERSTRING(INT(N57*10000),2)&amp;"元整"</f>
        <v>贰拾捌亿零叁佰叁拾万元整</v>
      </c>
      <c r="O58" s="3311"/>
    </row>
    <row r="59" spans="1:35" ht="24.6" thickBot="1">
      <c r="A59" s="3744" t="s">
        <v>1817</v>
      </c>
      <c r="B59" s="3745"/>
      <c r="C59" s="3745"/>
      <c r="D59" s="3312">
        <f ca="1">IF(H59="非个人房产","——",IF(H59="个人住宅（满五唯一有凭证）",0,IF(H59="个人其他（无凭证）",ROUND(D45*F59,0),ROUND(C67*F59,0))))</f>
        <v>4635</v>
      </c>
      <c r="E59" s="3313" t="str">
        <f>IF(H59="非个人房产","——",IF(H59="个人其他（无凭证）","销售额×税（费）率",IF(H59="个人住宅（满五唯一有凭证）","免征","差额计税")))</f>
        <v>差额计税</v>
      </c>
      <c r="F59" s="3314">
        <f>IF(OR(H59="非个人房产",H59="个人住宅（满五唯一有凭证）"),"——",IF(H59="个人其他（有凭证）",20%,1%))</f>
        <v>0.01</v>
      </c>
      <c r="G59" s="3315" t="s">
        <v>1811</v>
      </c>
      <c r="H59" s="3316"/>
      <c r="I59" s="3317" t="s">
        <v>2636</v>
      </c>
      <c r="J59" s="3742">
        <f>J57+1</f>
        <v>6</v>
      </c>
      <c r="K59" s="3740" t="s">
        <v>1818</v>
      </c>
      <c r="L59" s="3268" t="s">
        <v>1814</v>
      </c>
      <c r="M59" s="3318"/>
      <c r="N59" s="3319">
        <f ca="1">M49-N57</f>
        <v>206335</v>
      </c>
      <c r="O59" s="3320"/>
    </row>
    <row r="60" spans="1:35" ht="12" customHeight="1">
      <c r="A60" s="3321"/>
      <c r="B60" s="3167"/>
      <c r="C60" s="3167"/>
      <c r="D60" s="3167"/>
      <c r="E60" s="3322"/>
      <c r="F60" s="3303"/>
      <c r="G60" s="3303"/>
      <c r="H60" s="3323"/>
      <c r="I60" s="3183"/>
      <c r="J60" s="3743"/>
      <c r="K60" s="3740"/>
      <c r="L60" s="3305" t="s">
        <v>1816</v>
      </c>
      <c r="M60" s="3309"/>
      <c r="N60" s="3310" t="str">
        <f ca="1">NUMBERSTRING(INT(N59*10000),2)&amp;"元整"</f>
        <v>贰拾亿陆仟叁佰叁拾伍万元整</v>
      </c>
      <c r="O60" s="3311"/>
    </row>
    <row r="61" spans="1:35" ht="13.8" thickBot="1">
      <c r="A61" s="3794" t="s">
        <v>1819</v>
      </c>
      <c r="B61" s="3794"/>
      <c r="C61" s="3794"/>
      <c r="D61" s="3794"/>
      <c r="E61" s="3794"/>
      <c r="F61" s="3303"/>
      <c r="G61" s="3303"/>
      <c r="H61" s="3323"/>
      <c r="I61" s="3183"/>
      <c r="J61" s="3268">
        <f>J59+1</f>
        <v>7</v>
      </c>
      <c r="K61" s="3740" t="s">
        <v>1820</v>
      </c>
      <c r="L61" s="3740"/>
      <c r="M61" s="3324"/>
      <c r="N61" s="3325">
        <f ca="1">ROUND(N59*10000/'数据-汇总表'!E3,0)</f>
        <v>16912</v>
      </c>
      <c r="O61" s="3326"/>
    </row>
    <row r="62" spans="1:35" ht="13.2">
      <c r="A62" s="3759" t="s">
        <v>1821</v>
      </c>
      <c r="B62" s="3760"/>
      <c r="C62" s="3327"/>
      <c r="D62" s="3327" t="s">
        <v>1822</v>
      </c>
      <c r="E62" s="3328" t="s">
        <v>1823</v>
      </c>
      <c r="F62" s="3303"/>
      <c r="G62" s="3303"/>
      <c r="H62" s="3323"/>
      <c r="I62" s="3183"/>
    </row>
    <row r="63" spans="1:35" ht="13.2">
      <c r="A63" s="3329" t="s">
        <v>594</v>
      </c>
      <c r="B63" s="3330" t="s">
        <v>1824</v>
      </c>
      <c r="C63" s="3330">
        <f ca="1">ROUND((C64+C65)/(1+'数据-取费表'!C42),0)</f>
        <v>463490</v>
      </c>
      <c r="D63" s="3330"/>
      <c r="E63" s="3331"/>
      <c r="F63" s="3303"/>
      <c r="G63" s="3303"/>
      <c r="H63" s="3323"/>
      <c r="I63" s="3183"/>
      <c r="J63" s="3727" t="s">
        <v>1825</v>
      </c>
      <c r="K63" s="3332" t="s">
        <v>1826</v>
      </c>
      <c r="L63" s="3332">
        <f ca="1">IF(M49&gt;10000,M49*0.5%,IF(AND(M49&gt;1000,M49&lt;=10000),M49*1%,IF(AND(M49&gt;100,M49&lt;=1000),M49*3%,IF(AND(M49&gt;10,M49&lt;=100),M49*5%,M49*8%))))</f>
        <v>2433.3250000000003</v>
      </c>
      <c r="M63" s="3184">
        <f ca="1">ROUND(L63,1)</f>
        <v>2433.3000000000002</v>
      </c>
      <c r="N63" s="3333"/>
      <c r="Z63" s="3173"/>
      <c r="AI63" s="3174"/>
    </row>
    <row r="64" spans="1:35" ht="14.25" customHeight="1">
      <c r="A64" s="3293" t="s">
        <v>589</v>
      </c>
      <c r="B64" s="3334" t="s">
        <v>1827</v>
      </c>
      <c r="C64" s="3334">
        <f ca="1">D45</f>
        <v>486665</v>
      </c>
      <c r="D64" s="3334" t="s">
        <v>32</v>
      </c>
      <c r="E64" s="3335"/>
      <c r="F64" s="3303"/>
      <c r="G64" s="3303"/>
      <c r="H64" s="3323"/>
      <c r="I64" s="3183"/>
      <c r="J64" s="3727"/>
      <c r="K64" s="3332" t="s">
        <v>1828</v>
      </c>
      <c r="L64" s="3332">
        <f ca="1">IF(M49&gt;2000,M49*0.5%,IF(AND(M49&gt;1000,M49&lt;=2000),M49*0.6%,IF(AND(M49&gt;500,M49&lt;=1000),M49*0.7%,IF(AND(M49&gt;200,M49&lt;=500),M49*0.8%,IF(AND(M49&gt;100,M49&lt;=200),M49*0.9%,IF(AND(M49&gt;50,M49&lt;=100),M49*1%,IF(AND(M49&gt;20,M49&lt;=50),M49*1.5%,IF(AND(M49&gt;10,M49&lt;=20),M49*2%,IF(AND(M49&gt;1,M49&lt;=10),M49*2.5%)))))))))</f>
        <v>2433.3250000000003</v>
      </c>
      <c r="M64" s="3184">
        <f t="shared" ref="M64:M65" ca="1" si="1">ROUND(L64,1)</f>
        <v>2433.3000000000002</v>
      </c>
      <c r="N64" s="3275" t="s">
        <v>1829</v>
      </c>
      <c r="Z64" s="3173"/>
      <c r="AI64" s="3174"/>
    </row>
    <row r="65" spans="1:35" ht="14.25" customHeight="1">
      <c r="A65" s="3293" t="s">
        <v>590</v>
      </c>
      <c r="B65" s="3334" t="s">
        <v>1830</v>
      </c>
      <c r="C65" s="3336"/>
      <c r="D65" s="3334"/>
      <c r="E65" s="3335"/>
      <c r="F65" s="3303"/>
      <c r="G65" s="3303"/>
      <c r="H65" s="3323"/>
      <c r="I65" s="3183"/>
      <c r="J65" s="3727"/>
      <c r="K65" s="3332" t="s">
        <v>1831</v>
      </c>
      <c r="L65" s="3332">
        <f ca="1">IF(M49&gt;1000,M49*0.1%,IF(AND(M49&gt;500,M49&lt;=1000),M49*0.5%,IF(AND(M49&gt;50,M49&lt;=500),M49*1%,IF(AND(M49&gt;1,M49&lt;=50),M49*1.5%))))</f>
        <v>486.66500000000002</v>
      </c>
      <c r="M65" s="3184">
        <f t="shared" ca="1" si="1"/>
        <v>486.7</v>
      </c>
      <c r="N65" s="3275" t="s">
        <v>1829</v>
      </c>
      <c r="Z65" s="3173"/>
      <c r="AI65" s="3174"/>
    </row>
    <row r="66" spans="1:35" ht="14.25" customHeight="1">
      <c r="A66" s="3329" t="s">
        <v>591</v>
      </c>
      <c r="B66" s="3337" t="s">
        <v>1832</v>
      </c>
      <c r="C66" s="3338"/>
      <c r="D66" s="3337" t="s">
        <v>32</v>
      </c>
      <c r="E66" s="3339" t="s">
        <v>1096</v>
      </c>
      <c r="F66" s="3303"/>
      <c r="G66" s="3303"/>
      <c r="H66" s="3323"/>
      <c r="I66" s="3183"/>
      <c r="J66" s="3727"/>
      <c r="K66" s="3332" t="s">
        <v>1833</v>
      </c>
      <c r="L66" s="3332">
        <f ca="1">M49*0.5%</f>
        <v>2433.3250000000003</v>
      </c>
      <c r="M66" s="3184">
        <f ca="1">IF(L66&gt;0.5,0.5,ROUND(L66,0))</f>
        <v>0.5</v>
      </c>
      <c r="N66" s="3275" t="s">
        <v>1834</v>
      </c>
      <c r="Z66" s="3173"/>
      <c r="AI66" s="3174"/>
    </row>
    <row r="67" spans="1:35" ht="14.25" customHeight="1">
      <c r="A67" s="3329" t="s">
        <v>592</v>
      </c>
      <c r="B67" s="3337" t="s">
        <v>1835</v>
      </c>
      <c r="C67" s="3337">
        <f ca="1">C63-C66</f>
        <v>463490</v>
      </c>
      <c r="D67" s="3334" t="s">
        <v>32</v>
      </c>
      <c r="E67" s="3335"/>
      <c r="F67" s="3303"/>
      <c r="G67" s="3303"/>
      <c r="H67" s="3323"/>
      <c r="I67" s="3183"/>
      <c r="J67" s="3727"/>
      <c r="K67" s="3332" t="s">
        <v>1836</v>
      </c>
      <c r="L67" s="3332">
        <f ca="1">IF(M49&gt;=10000,(8.25+(M49-10000)*0.01%),IF(AND(M49&gt;=8000,M49&lt;10000),(7.85+(M49-8000)*0.02%),IF(AND(M49&gt;=5000,M49&lt;8000),(6.65+(M49-5000)*0.04%),IF(AND(M49&gt;=2000,M49&lt;5000),(4.25+(PM49-2000)*0.08%),IF(AND(M49&gt;=1000,M49&lt;2000),(2.75+(M49-1000)*0.15%),IF(AND(M49&gt;=100,M49&lt;1000),(0.5+(M49-100)*0.25%),IF(AND(M49&gt;0,M49&lt;100),M49*0.5%)))))))</f>
        <v>55.916499999999999</v>
      </c>
      <c r="M67" s="3184">
        <f ca="1">ROUND(L67*0.9,1)</f>
        <v>50.3</v>
      </c>
      <c r="N67" s="3333"/>
      <c r="Z67" s="3173"/>
      <c r="AI67" s="3174"/>
    </row>
    <row r="68" spans="1:35" ht="14.25" customHeight="1" thickBot="1">
      <c r="A68" s="3340" t="s">
        <v>593</v>
      </c>
      <c r="B68" s="3341" t="s">
        <v>1837</v>
      </c>
      <c r="C68" s="3341">
        <f ca="1">IF(C67&lt;=0,0,ROUND(C67*D68,0))</f>
        <v>25955</v>
      </c>
      <c r="D68" s="3342">
        <f>'数据-取费表'!B41</f>
        <v>5.6000000000000001E-2</v>
      </c>
      <c r="E68" s="3343"/>
      <c r="F68" s="3303"/>
      <c r="G68" s="3303"/>
      <c r="H68" s="3323"/>
      <c r="I68" s="3183"/>
      <c r="J68" s="3727"/>
      <c r="K68" s="3332" t="s">
        <v>1838</v>
      </c>
      <c r="L68" s="3332">
        <f ca="1">IF(M49&gt;10000,M49*0.5%,IF(AND(M49&gt;5000,M49&lt;=10000),M49*1%,IF(AND(M49&gt;1000,M49&lt;=5000),M49*2%,IF(AND(M49&gt;200,M49&lt;=1000),M49*3%,M49*5%))))</f>
        <v>2433.3250000000003</v>
      </c>
      <c r="M68" s="3184">
        <f ca="1">ROUND(L68,1)</f>
        <v>2433.3000000000002</v>
      </c>
      <c r="N68" s="3333"/>
      <c r="Z68" s="3173"/>
      <c r="AI68" s="3174"/>
    </row>
    <row r="69" spans="1:35" s="3349" customFormat="1" ht="16.5" customHeight="1">
      <c r="A69" s="3269"/>
      <c r="B69" s="3344"/>
      <c r="C69" s="3345"/>
      <c r="D69" s="3346"/>
      <c r="E69" s="3347"/>
      <c r="F69" s="3322"/>
      <c r="G69" s="3322"/>
      <c r="H69" s="2462"/>
      <c r="I69" s="3167"/>
      <c r="J69" s="3727"/>
      <c r="K69" s="3332" t="s">
        <v>1839</v>
      </c>
      <c r="L69" s="3332"/>
      <c r="M69" s="3184">
        <f ca="1">ROUND(SUM(M63:M68),0)</f>
        <v>7837</v>
      </c>
      <c r="N69" s="3348">
        <f ca="1">M69/M49</f>
        <v>1.6103479806437695E-2</v>
      </c>
      <c r="O69" s="3172"/>
      <c r="P69" s="3172"/>
      <c r="Q69" s="3172"/>
      <c r="R69" s="3172"/>
      <c r="S69" s="3172"/>
      <c r="T69" s="3172"/>
      <c r="U69" s="3172"/>
      <c r="V69" s="3172"/>
      <c r="W69" s="3172"/>
      <c r="X69" s="3172"/>
      <c r="Y69" s="3172"/>
      <c r="Z69" s="3173"/>
      <c r="AA69" s="3173"/>
      <c r="AB69" s="3173"/>
      <c r="AC69" s="3173"/>
      <c r="AD69" s="3173"/>
      <c r="AE69" s="3173"/>
      <c r="AF69" s="3173"/>
      <c r="AG69" s="3173"/>
      <c r="AH69" s="3173"/>
    </row>
    <row r="70" spans="1:35" s="3354" customFormat="1" ht="14.4" thickBot="1">
      <c r="A70" s="3764" t="s">
        <v>1840</v>
      </c>
      <c r="B70" s="3765"/>
      <c r="C70" s="3765"/>
      <c r="D70" s="3765"/>
      <c r="E70" s="3765"/>
      <c r="F70" s="3765"/>
      <c r="G70" s="3765"/>
      <c r="H70" s="3765"/>
      <c r="I70" s="3350"/>
      <c r="J70" s="3351"/>
      <c r="K70" s="3351"/>
      <c r="L70" s="3351"/>
      <c r="M70" s="3351"/>
      <c r="N70" s="3352"/>
      <c r="O70" s="3352"/>
      <c r="P70" s="3352"/>
      <c r="Q70" s="3352"/>
      <c r="R70" s="3352"/>
      <c r="S70" s="3352"/>
      <c r="T70" s="3352"/>
      <c r="U70" s="3352"/>
      <c r="V70" s="3352"/>
      <c r="W70" s="3352"/>
      <c r="X70" s="3352"/>
      <c r="Y70" s="3352"/>
      <c r="Z70" s="3352"/>
      <c r="AA70" s="3353"/>
      <c r="AB70" s="3353"/>
      <c r="AC70" s="3353"/>
      <c r="AD70" s="3353"/>
      <c r="AE70" s="3353"/>
      <c r="AF70" s="3353"/>
      <c r="AG70" s="3353"/>
      <c r="AH70" s="3353"/>
      <c r="AI70" s="3353"/>
    </row>
    <row r="71" spans="1:35" s="3354" customFormat="1" ht="13.8">
      <c r="A71" s="3759" t="s">
        <v>1821</v>
      </c>
      <c r="B71" s="3760"/>
      <c r="C71" s="3327"/>
      <c r="D71" s="3327" t="s">
        <v>1822</v>
      </c>
      <c r="E71" s="3355" t="s">
        <v>1823</v>
      </c>
      <c r="F71" s="3356"/>
      <c r="G71" s="3356"/>
      <c r="H71" s="3357"/>
      <c r="I71" s="3358"/>
      <c r="J71" s="3351"/>
      <c r="K71" s="3351"/>
      <c r="L71" s="3351"/>
      <c r="M71" s="3351"/>
      <c r="N71" s="3352"/>
      <c r="O71" s="3352"/>
      <c r="P71" s="3352"/>
      <c r="Q71" s="3352"/>
      <c r="R71" s="3352"/>
      <c r="S71" s="3352"/>
      <c r="T71" s="3352"/>
      <c r="U71" s="3352"/>
      <c r="V71" s="3352"/>
      <c r="W71" s="3352"/>
      <c r="X71" s="3352"/>
      <c r="Y71" s="3352"/>
      <c r="Z71" s="3352"/>
      <c r="AA71" s="3353"/>
      <c r="AB71" s="3353"/>
      <c r="AC71" s="3353"/>
      <c r="AD71" s="3353"/>
      <c r="AE71" s="3353"/>
      <c r="AF71" s="3353"/>
      <c r="AG71" s="3353"/>
      <c r="AH71" s="3353"/>
      <c r="AI71" s="3353"/>
    </row>
    <row r="72" spans="1:35" s="3354" customFormat="1" ht="13.8">
      <c r="A72" s="3329" t="s">
        <v>594</v>
      </c>
      <c r="B72" s="3337" t="s">
        <v>1841</v>
      </c>
      <c r="C72" s="3337">
        <f ca="1">ROUND(D45/(1+'数据-取费表'!C42),0)</f>
        <v>463490</v>
      </c>
      <c r="D72" s="3334" t="s">
        <v>32</v>
      </c>
      <c r="E72" s="3359"/>
      <c r="F72" s="3360"/>
      <c r="G72" s="3360"/>
      <c r="H72" s="3361"/>
      <c r="I72" s="3358"/>
      <c r="J72" s="3351"/>
      <c r="K72" s="3351"/>
      <c r="L72" s="3351"/>
      <c r="M72" s="3351"/>
      <c r="N72" s="3352"/>
      <c r="O72" s="3352"/>
      <c r="P72" s="3352"/>
      <c r="Q72" s="3352"/>
      <c r="R72" s="3352"/>
      <c r="S72" s="3352"/>
      <c r="T72" s="3352"/>
      <c r="U72" s="3352"/>
      <c r="V72" s="3352"/>
      <c r="W72" s="3352"/>
      <c r="X72" s="3352"/>
      <c r="Y72" s="3352"/>
      <c r="Z72" s="3352"/>
      <c r="AA72" s="3353"/>
      <c r="AB72" s="3353"/>
      <c r="AC72" s="3353"/>
      <c r="AD72" s="3353"/>
      <c r="AE72" s="3353"/>
      <c r="AF72" s="3353"/>
      <c r="AG72" s="3353"/>
      <c r="AH72" s="3353"/>
      <c r="AI72" s="3353"/>
    </row>
    <row r="73" spans="1:35" s="3354" customFormat="1" ht="13.8">
      <c r="A73" s="3329" t="s">
        <v>591</v>
      </c>
      <c r="B73" s="3273" t="s">
        <v>1842</v>
      </c>
      <c r="C73" s="3337">
        <f ca="1">C74+C78</f>
        <v>2781</v>
      </c>
      <c r="D73" s="3334" t="s">
        <v>32</v>
      </c>
      <c r="E73" s="3359"/>
      <c r="F73" s="3360"/>
      <c r="G73" s="3360"/>
      <c r="H73" s="3361"/>
      <c r="I73" s="3358"/>
      <c r="J73" s="3352"/>
      <c r="K73" s="3352"/>
      <c r="L73" s="3352"/>
      <c r="M73" s="3352"/>
      <c r="N73" s="3352"/>
      <c r="O73" s="3352"/>
      <c r="P73" s="3352"/>
      <c r="Q73" s="3352"/>
      <c r="R73" s="3352"/>
      <c r="S73" s="3352"/>
      <c r="T73" s="3352"/>
      <c r="U73" s="3352"/>
      <c r="V73" s="3352"/>
      <c r="W73" s="3352"/>
      <c r="X73" s="3352"/>
      <c r="Y73" s="3352"/>
      <c r="Z73" s="3352"/>
      <c r="AA73" s="3353"/>
      <c r="AB73" s="3353"/>
      <c r="AC73" s="3353"/>
      <c r="AD73" s="3353"/>
      <c r="AE73" s="3353"/>
      <c r="AF73" s="3353"/>
      <c r="AG73" s="3353"/>
      <c r="AH73" s="3353"/>
      <c r="AI73" s="3353"/>
    </row>
    <row r="74" spans="1:35" s="3354" customFormat="1" ht="24">
      <c r="A74" s="3293" t="s">
        <v>589</v>
      </c>
      <c r="B74" s="3334" t="s">
        <v>1843</v>
      </c>
      <c r="C74" s="3334">
        <f>ROUND(IF(G77="2016年5月1日后购买",C75/(1+'数据-取费表'!C42)+C76+C77,C75+C76+C77),0)</f>
        <v>0</v>
      </c>
      <c r="D74" s="3334" t="s">
        <v>32</v>
      </c>
      <c r="E74" s="3359"/>
      <c r="F74" s="3360"/>
      <c r="G74" s="3360"/>
      <c r="H74" s="3361"/>
      <c r="I74" s="3358"/>
      <c r="J74" s="3352"/>
      <c r="K74" s="3352"/>
      <c r="L74" s="3352"/>
      <c r="M74" s="3352"/>
      <c r="N74" s="3352"/>
      <c r="O74" s="3352"/>
      <c r="P74" s="3352"/>
      <c r="Q74" s="3352"/>
      <c r="R74" s="3352"/>
      <c r="S74" s="3352"/>
      <c r="T74" s="3352"/>
      <c r="U74" s="3352"/>
      <c r="V74" s="3352"/>
      <c r="W74" s="3352"/>
      <c r="X74" s="3352"/>
      <c r="Y74" s="3352"/>
      <c r="Z74" s="3352"/>
      <c r="AA74" s="3353"/>
      <c r="AB74" s="3353"/>
      <c r="AC74" s="3353"/>
      <c r="AD74" s="3353"/>
      <c r="AE74" s="3353"/>
      <c r="AF74" s="3353"/>
      <c r="AG74" s="3353"/>
      <c r="AH74" s="3353"/>
      <c r="AI74" s="3353"/>
    </row>
    <row r="75" spans="1:35" s="3354" customFormat="1" ht="28.8">
      <c r="A75" s="3293" t="s">
        <v>595</v>
      </c>
      <c r="B75" s="3334" t="s">
        <v>1844</v>
      </c>
      <c r="C75" s="3336"/>
      <c r="D75" s="3334" t="s">
        <v>32</v>
      </c>
      <c r="E75" s="3362" t="s">
        <v>1845</v>
      </c>
      <c r="F75" s="3363"/>
      <c r="G75" s="3362" t="s">
        <v>1846</v>
      </c>
      <c r="H75" s="3364"/>
      <c r="I75" s="3365"/>
      <c r="J75" s="3352"/>
      <c r="K75" s="3352"/>
      <c r="L75" s="3352"/>
      <c r="M75" s="3352"/>
      <c r="N75" s="3352"/>
      <c r="O75" s="3352"/>
      <c r="P75" s="3352"/>
      <c r="Q75" s="3352"/>
      <c r="R75" s="3352"/>
      <c r="S75" s="3352"/>
      <c r="T75" s="3352"/>
      <c r="U75" s="3352"/>
      <c r="V75" s="3352"/>
      <c r="W75" s="3352"/>
      <c r="X75" s="3352"/>
      <c r="Y75" s="3352"/>
      <c r="Z75" s="3352"/>
      <c r="AA75" s="3353"/>
      <c r="AB75" s="3353"/>
      <c r="AC75" s="3353"/>
      <c r="AD75" s="3353"/>
      <c r="AE75" s="3353"/>
      <c r="AF75" s="3353"/>
      <c r="AG75" s="3353"/>
      <c r="AH75" s="3353"/>
      <c r="AI75" s="3353"/>
    </row>
    <row r="76" spans="1:35" s="3354" customFormat="1" ht="24.75" customHeight="1">
      <c r="A76" s="3293" t="s">
        <v>596</v>
      </c>
      <c r="B76" s="3366" t="s">
        <v>1847</v>
      </c>
      <c r="C76" s="3334">
        <f>IF(F75="购房发票",ROUND(C75*H75*D76,0),0)</f>
        <v>0</v>
      </c>
      <c r="D76" s="3367">
        <v>0.05</v>
      </c>
      <c r="E76" s="3756" t="s">
        <v>1848</v>
      </c>
      <c r="F76" s="3757"/>
      <c r="G76" s="3757"/>
      <c r="H76" s="3758"/>
      <c r="I76" s="3358"/>
      <c r="J76" s="3352"/>
      <c r="K76" s="3352"/>
      <c r="L76" s="3352"/>
      <c r="M76" s="3352"/>
      <c r="N76" s="3352"/>
      <c r="O76" s="3352"/>
      <c r="P76" s="3352"/>
      <c r="Q76" s="3352"/>
      <c r="R76" s="3352"/>
      <c r="S76" s="3352"/>
      <c r="T76" s="3352"/>
      <c r="U76" s="3352"/>
      <c r="V76" s="3352"/>
      <c r="W76" s="3352"/>
      <c r="X76" s="3352"/>
      <c r="Y76" s="3352"/>
      <c r="Z76" s="3352"/>
      <c r="AA76" s="3353"/>
      <c r="AB76" s="3353"/>
      <c r="AC76" s="3353"/>
      <c r="AD76" s="3353"/>
      <c r="AE76" s="3353"/>
      <c r="AF76" s="3353"/>
      <c r="AG76" s="3353"/>
      <c r="AH76" s="3353"/>
      <c r="AI76" s="3353"/>
    </row>
    <row r="77" spans="1:35" s="3354" customFormat="1" ht="24.75" customHeight="1">
      <c r="A77" s="3293" t="s">
        <v>597</v>
      </c>
      <c r="B77" s="3334" t="s">
        <v>1849</v>
      </c>
      <c r="C77" s="3334">
        <f>ROUND(IF(G77="个人住宅",0,IF(G77="2016年5月1日前购买",C75*D77,C75*D77/(1+'数据-取费表'!C42))),0)</f>
        <v>0</v>
      </c>
      <c r="D77" s="3334">
        <f>'数据-取费表'!B48+'数据-取费表'!B49</f>
        <v>3.0499999999999999E-2</v>
      </c>
      <c r="E77" s="3276" t="s">
        <v>1850</v>
      </c>
      <c r="F77" s="3368"/>
      <c r="G77" s="3369"/>
      <c r="H77" s="3370" t="str">
        <f>IF(G77="个人买卖住房","免征印花税"," ")</f>
        <v xml:space="preserve"> </v>
      </c>
      <c r="I77" s="3358"/>
      <c r="J77" s="3352"/>
      <c r="K77" s="3352"/>
      <c r="L77" s="3352"/>
      <c r="M77" s="3352"/>
      <c r="N77" s="3352"/>
      <c r="O77" s="3352"/>
      <c r="P77" s="3352"/>
      <c r="Q77" s="3352"/>
      <c r="R77" s="3352"/>
      <c r="S77" s="3352"/>
      <c r="T77" s="3352"/>
      <c r="U77" s="3352"/>
      <c r="V77" s="3352"/>
      <c r="W77" s="3352"/>
      <c r="X77" s="3352"/>
      <c r="Y77" s="3352"/>
      <c r="Z77" s="3352"/>
      <c r="AA77" s="3353"/>
      <c r="AB77" s="3353"/>
      <c r="AC77" s="3353"/>
      <c r="AD77" s="3353"/>
      <c r="AE77" s="3353"/>
      <c r="AF77" s="3353"/>
      <c r="AG77" s="3353"/>
      <c r="AH77" s="3353"/>
      <c r="AI77" s="3353"/>
    </row>
    <row r="78" spans="1:35" s="3354" customFormat="1" ht="24.75" customHeight="1">
      <c r="A78" s="3293" t="s">
        <v>590</v>
      </c>
      <c r="B78" s="3334" t="s">
        <v>1851</v>
      </c>
      <c r="C78" s="3334">
        <f ca="1">ROUND(D45*D78/(1+'数据-取费表'!C42),0)</f>
        <v>2781</v>
      </c>
      <c r="D78" s="3371">
        <f>'数据-取费表'!B43</f>
        <v>6.000000000000001E-3</v>
      </c>
      <c r="E78" s="3756" t="s">
        <v>1852</v>
      </c>
      <c r="F78" s="3757"/>
      <c r="G78" s="3757"/>
      <c r="H78" s="3758"/>
      <c r="I78" s="3372"/>
      <c r="J78" s="3352"/>
      <c r="K78" s="3352"/>
      <c r="L78" s="3352"/>
      <c r="M78" s="3352"/>
      <c r="N78" s="3352"/>
      <c r="O78" s="3352"/>
      <c r="P78" s="3352"/>
      <c r="Q78" s="3352"/>
      <c r="R78" s="3352"/>
      <c r="S78" s="3352"/>
      <c r="T78" s="3352"/>
      <c r="U78" s="3352"/>
      <c r="V78" s="3352"/>
      <c r="W78" s="3352"/>
      <c r="X78" s="3352"/>
      <c r="Y78" s="3352"/>
      <c r="Z78" s="3352"/>
      <c r="AA78" s="3353"/>
      <c r="AB78" s="3353"/>
      <c r="AC78" s="3353"/>
      <c r="AD78" s="3353"/>
      <c r="AE78" s="3353"/>
      <c r="AF78" s="3353"/>
      <c r="AG78" s="3353"/>
      <c r="AH78" s="3353"/>
      <c r="AI78" s="3353"/>
    </row>
    <row r="79" spans="1:35" s="3354" customFormat="1" ht="13.8">
      <c r="A79" s="3329" t="s">
        <v>598</v>
      </c>
      <c r="B79" s="3337" t="s">
        <v>1853</v>
      </c>
      <c r="C79" s="3337">
        <f ca="1">C72-C73</f>
        <v>460709</v>
      </c>
      <c r="D79" s="3334" t="s">
        <v>32</v>
      </c>
      <c r="E79" s="3359"/>
      <c r="F79" s="3360"/>
      <c r="G79" s="3360"/>
      <c r="H79" s="3361"/>
      <c r="I79" s="3358"/>
      <c r="J79" s="3352"/>
      <c r="K79" s="3352"/>
      <c r="L79" s="3352"/>
      <c r="M79" s="3352"/>
      <c r="N79" s="3352"/>
      <c r="O79" s="3352"/>
      <c r="P79" s="3352"/>
      <c r="Q79" s="3352"/>
      <c r="R79" s="3352"/>
      <c r="S79" s="3352"/>
      <c r="T79" s="3352"/>
      <c r="U79" s="3352"/>
      <c r="V79" s="3352"/>
      <c r="W79" s="3352"/>
      <c r="X79" s="3352"/>
      <c r="Y79" s="3352"/>
      <c r="Z79" s="3352"/>
      <c r="AA79" s="3353"/>
      <c r="AB79" s="3353"/>
      <c r="AC79" s="3353"/>
      <c r="AD79" s="3353"/>
      <c r="AE79" s="3353"/>
      <c r="AF79" s="3353"/>
      <c r="AG79" s="3353"/>
      <c r="AH79" s="3353"/>
      <c r="AI79" s="3353"/>
    </row>
    <row r="80" spans="1:35" s="3354" customFormat="1" ht="24">
      <c r="A80" s="3329" t="s">
        <v>599</v>
      </c>
      <c r="B80" s="3337" t="s">
        <v>1854</v>
      </c>
      <c r="C80" s="3337">
        <f ca="1">IF(C79&lt;=0,0,C79/C73)</f>
        <v>165.66307083782812</v>
      </c>
      <c r="D80" s="3334" t="s">
        <v>32</v>
      </c>
      <c r="E80" s="3276" t="str">
        <f ca="1">IF(C80&gt;=200%,"增值额超过扣除项目金额200%",IF(C80&gt;=100%,"增值额超过扣除项目金额100%，未超过200%",IF(C80&gt;=50%,"增值额超过扣除项目金额50%，未超过100%",IF(C80&lt;50%,"增值额未超过扣除项目金额50%"))))</f>
        <v>增值额超过扣除项目金额200%</v>
      </c>
      <c r="F80" s="3360"/>
      <c r="G80" s="3360"/>
      <c r="H80" s="3361"/>
      <c r="I80" s="3358"/>
      <c r="J80" s="3352"/>
      <c r="K80" s="3352"/>
      <c r="L80" s="3352"/>
      <c r="M80" s="3352"/>
      <c r="N80" s="3352"/>
      <c r="O80" s="3352"/>
      <c r="P80" s="3352"/>
      <c r="Q80" s="3352"/>
      <c r="R80" s="3352"/>
      <c r="S80" s="3352"/>
      <c r="T80" s="3352"/>
      <c r="U80" s="3352"/>
      <c r="V80" s="3352"/>
      <c r="W80" s="3352"/>
      <c r="X80" s="3352"/>
      <c r="Y80" s="3352"/>
      <c r="Z80" s="3352"/>
      <c r="AA80" s="3353"/>
      <c r="AB80" s="3353"/>
      <c r="AC80" s="3353"/>
      <c r="AD80" s="3353"/>
      <c r="AE80" s="3353"/>
      <c r="AF80" s="3353"/>
      <c r="AG80" s="3353"/>
      <c r="AH80" s="3353"/>
      <c r="AI80" s="3353"/>
    </row>
    <row r="81" spans="1:35" s="3354" customFormat="1" ht="24.6" thickBot="1">
      <c r="A81" s="3340" t="s">
        <v>600</v>
      </c>
      <c r="B81" s="3341" t="s">
        <v>1855</v>
      </c>
      <c r="C81" s="3373">
        <f ca="1">ROUND(IF(C79&lt;=0,0,IF(C80&gt;=200%,C79*60%-C73*35%,IF(C80&gt;=100%,C79*50%-C73*15%,IF(C80&gt;=50%,C79*40%-C73*5%,IF(C80&lt;50%,C79*30%,0))))),0)</f>
        <v>275452</v>
      </c>
      <c r="D81" s="3342" t="s">
        <v>32</v>
      </c>
      <c r="E81" s="33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5"/>
      <c r="G81" s="3375"/>
      <c r="H81" s="3376"/>
      <c r="I81" s="3358"/>
      <c r="J81" s="3352"/>
      <c r="K81" s="3352"/>
      <c r="L81" s="3352"/>
      <c r="M81" s="3352"/>
      <c r="N81" s="3352"/>
      <c r="O81" s="3352"/>
      <c r="P81" s="3352"/>
      <c r="Q81" s="3352"/>
      <c r="R81" s="3352"/>
      <c r="S81" s="3352"/>
      <c r="T81" s="3352"/>
      <c r="U81" s="3352"/>
      <c r="V81" s="3352"/>
      <c r="W81" s="3352"/>
      <c r="X81" s="3352"/>
      <c r="Y81" s="3352"/>
      <c r="Z81" s="3352"/>
      <c r="AA81" s="3353"/>
      <c r="AB81" s="3353"/>
      <c r="AC81" s="3353"/>
      <c r="AD81" s="3353"/>
      <c r="AE81" s="3353"/>
      <c r="AF81" s="3353"/>
      <c r="AG81" s="3353"/>
      <c r="AH81" s="3353"/>
      <c r="AI81" s="3353"/>
    </row>
    <row r="82" spans="1:35" s="3354" customFormat="1" ht="7.5" customHeight="1">
      <c r="A82" s="3377"/>
      <c r="B82" s="3378"/>
      <c r="C82" s="3379"/>
      <c r="D82" s="3379"/>
      <c r="E82" s="3378"/>
      <c r="F82" s="3378"/>
      <c r="G82" s="3378"/>
      <c r="H82" s="3380"/>
      <c r="I82" s="3372"/>
      <c r="J82" s="3352"/>
      <c r="K82" s="3352"/>
      <c r="L82" s="3352"/>
      <c r="M82" s="3352"/>
      <c r="N82" s="3352"/>
      <c r="O82" s="3352"/>
      <c r="P82" s="3352"/>
      <c r="Q82" s="3352"/>
      <c r="R82" s="3352"/>
      <c r="S82" s="3352"/>
      <c r="T82" s="3352"/>
      <c r="U82" s="3352"/>
      <c r="V82" s="3352"/>
      <c r="W82" s="3352"/>
      <c r="X82" s="3352"/>
      <c r="Y82" s="3352"/>
      <c r="Z82" s="3352"/>
      <c r="AA82" s="3353"/>
      <c r="AB82" s="3353"/>
      <c r="AC82" s="3353"/>
      <c r="AD82" s="3353"/>
      <c r="AE82" s="3353"/>
      <c r="AF82" s="3353"/>
      <c r="AG82" s="3353"/>
      <c r="AH82" s="3353"/>
      <c r="AI82" s="3353"/>
    </row>
    <row r="83" spans="1:35" s="3354" customFormat="1" ht="14.4" thickBot="1">
      <c r="A83" s="3764" t="s">
        <v>1856</v>
      </c>
      <c r="B83" s="3765"/>
      <c r="C83" s="3765"/>
      <c r="D83" s="3765"/>
      <c r="E83" s="3765"/>
      <c r="F83" s="3765"/>
      <c r="G83" s="3765"/>
      <c r="H83" s="3765"/>
      <c r="I83" s="3365"/>
      <c r="J83" s="3352"/>
      <c r="K83" s="3352"/>
      <c r="L83" s="3352"/>
      <c r="M83" s="3352"/>
      <c r="N83" s="3352"/>
      <c r="O83" s="3352"/>
      <c r="P83" s="3352"/>
      <c r="Q83" s="3352"/>
      <c r="R83" s="3352"/>
      <c r="S83" s="3352"/>
      <c r="T83" s="3352"/>
      <c r="U83" s="3352"/>
      <c r="V83" s="3352"/>
      <c r="W83" s="3352"/>
      <c r="X83" s="3352"/>
      <c r="Y83" s="3352"/>
      <c r="Z83" s="3352"/>
      <c r="AA83" s="3353"/>
      <c r="AB83" s="3353"/>
      <c r="AC83" s="3353"/>
      <c r="AD83" s="3353"/>
      <c r="AE83" s="3353"/>
      <c r="AF83" s="3353"/>
      <c r="AG83" s="3353"/>
      <c r="AH83" s="3353"/>
      <c r="AI83" s="3353"/>
    </row>
    <row r="84" spans="1:35" s="3354" customFormat="1" ht="13.8">
      <c r="A84" s="3759" t="s">
        <v>1821</v>
      </c>
      <c r="B84" s="3760"/>
      <c r="C84" s="3327"/>
      <c r="D84" s="3327" t="s">
        <v>1822</v>
      </c>
      <c r="E84" s="3355" t="s">
        <v>1823</v>
      </c>
      <c r="F84" s="3356"/>
      <c r="G84" s="3356"/>
      <c r="H84" s="3381"/>
      <c r="I84" s="3365"/>
      <c r="J84" s="3352"/>
      <c r="K84" s="3352"/>
      <c r="L84" s="3352"/>
      <c r="M84" s="3352"/>
      <c r="N84" s="3352"/>
      <c r="O84" s="3352"/>
      <c r="P84" s="3352"/>
      <c r="Q84" s="3352"/>
      <c r="R84" s="3352"/>
      <c r="S84" s="3352"/>
      <c r="T84" s="3352"/>
      <c r="U84" s="3352"/>
      <c r="V84" s="3352"/>
      <c r="W84" s="3352"/>
      <c r="X84" s="3352"/>
      <c r="Y84" s="3352"/>
      <c r="Z84" s="3352"/>
      <c r="AA84" s="3353"/>
      <c r="AB84" s="3353"/>
      <c r="AC84" s="3353"/>
      <c r="AD84" s="3353"/>
      <c r="AE84" s="3353"/>
      <c r="AF84" s="3353"/>
      <c r="AG84" s="3353"/>
      <c r="AH84" s="3353"/>
      <c r="AI84" s="3353"/>
    </row>
    <row r="85" spans="1:35" s="3354" customFormat="1" ht="13.8">
      <c r="A85" s="3329" t="s">
        <v>594</v>
      </c>
      <c r="B85" s="3337" t="s">
        <v>1841</v>
      </c>
      <c r="C85" s="3337">
        <f ca="1">ROUND(D45/(1+'数据-取费表'!C42),0)</f>
        <v>463490</v>
      </c>
      <c r="D85" s="3334" t="s">
        <v>32</v>
      </c>
      <c r="E85" s="3359"/>
      <c r="F85" s="3360"/>
      <c r="G85" s="3360"/>
      <c r="H85" s="3382"/>
      <c r="I85" s="3365"/>
      <c r="J85" s="3352"/>
      <c r="K85" s="3352"/>
      <c r="L85" s="3352"/>
      <c r="M85" s="3352"/>
      <c r="N85" s="3352"/>
      <c r="O85" s="3352"/>
      <c r="P85" s="3352"/>
      <c r="Q85" s="3352"/>
      <c r="R85" s="3352"/>
      <c r="S85" s="3352"/>
      <c r="T85" s="3352"/>
      <c r="U85" s="3352"/>
      <c r="V85" s="3352"/>
      <c r="W85" s="3352"/>
      <c r="X85" s="3352"/>
      <c r="Y85" s="3352"/>
      <c r="Z85" s="3352"/>
      <c r="AA85" s="3353"/>
      <c r="AB85" s="3353"/>
      <c r="AC85" s="3353"/>
      <c r="AD85" s="3353"/>
      <c r="AE85" s="3353"/>
      <c r="AF85" s="3353"/>
      <c r="AG85" s="3353"/>
      <c r="AH85" s="3353"/>
      <c r="AI85" s="3353"/>
    </row>
    <row r="86" spans="1:35" s="3354" customFormat="1" ht="13.8">
      <c r="A86" s="3329" t="s">
        <v>591</v>
      </c>
      <c r="B86" s="3273" t="s">
        <v>1842</v>
      </c>
      <c r="C86" s="3337">
        <f ca="1">IF(H88="仅含出让金",C87+C90+C91+C92+C93+C94,C87+C91+C92+C93+C94)</f>
        <v>2781</v>
      </c>
      <c r="D86" s="3383"/>
      <c r="E86" s="3359"/>
      <c r="F86" s="3360"/>
      <c r="G86" s="3360"/>
      <c r="H86" s="3382"/>
      <c r="I86" s="3365"/>
      <c r="J86" s="3352"/>
      <c r="K86" s="3352"/>
      <c r="L86" s="3352"/>
      <c r="M86" s="3352"/>
      <c r="N86" s="3352"/>
      <c r="O86" s="3352"/>
      <c r="P86" s="3352"/>
      <c r="Q86" s="3352"/>
      <c r="R86" s="3352"/>
      <c r="S86" s="3352"/>
      <c r="T86" s="3352"/>
      <c r="U86" s="3352"/>
      <c r="V86" s="3352"/>
      <c r="W86" s="3352"/>
      <c r="X86" s="3352"/>
      <c r="Y86" s="3352"/>
      <c r="Z86" s="3352"/>
      <c r="AA86" s="3353"/>
      <c r="AB86" s="3353"/>
      <c r="AC86" s="3353"/>
      <c r="AD86" s="3353"/>
      <c r="AE86" s="3353"/>
      <c r="AF86" s="3353"/>
      <c r="AG86" s="3353"/>
      <c r="AH86" s="3353"/>
      <c r="AI86" s="3353"/>
    </row>
    <row r="87" spans="1:35" s="3354" customFormat="1" ht="13.8">
      <c r="A87" s="3293" t="s">
        <v>589</v>
      </c>
      <c r="B87" s="3334" t="s">
        <v>1857</v>
      </c>
      <c r="C87" s="3334">
        <f>C88+C89</f>
        <v>0</v>
      </c>
      <c r="D87" s="3371"/>
      <c r="E87" s="3359"/>
      <c r="F87" s="3360"/>
      <c r="G87" s="3360"/>
      <c r="H87" s="3370"/>
      <c r="I87" s="3365"/>
      <c r="J87" s="3352"/>
      <c r="K87" s="3352"/>
      <c r="L87" s="3352"/>
      <c r="M87" s="3352"/>
      <c r="N87" s="3352"/>
      <c r="O87" s="3352"/>
      <c r="P87" s="3352"/>
      <c r="Q87" s="3352"/>
      <c r="R87" s="3352"/>
      <c r="S87" s="3352"/>
      <c r="T87" s="3352"/>
      <c r="U87" s="3352"/>
      <c r="V87" s="3352"/>
      <c r="W87" s="3352"/>
      <c r="X87" s="3352"/>
      <c r="Y87" s="3352"/>
      <c r="Z87" s="3352"/>
      <c r="AA87" s="3353"/>
      <c r="AB87" s="3353"/>
      <c r="AC87" s="3353"/>
      <c r="AD87" s="3353"/>
      <c r="AE87" s="3353"/>
      <c r="AF87" s="3353"/>
      <c r="AG87" s="3353"/>
      <c r="AH87" s="3353"/>
      <c r="AI87" s="3353"/>
    </row>
    <row r="88" spans="1:35" s="3354" customFormat="1" ht="14.4">
      <c r="A88" s="3293" t="s">
        <v>595</v>
      </c>
      <c r="B88" s="3334" t="s">
        <v>1858</v>
      </c>
      <c r="C88" s="3336"/>
      <c r="D88" s="3371"/>
      <c r="E88" s="3276" t="s">
        <v>1859</v>
      </c>
      <c r="F88" s="3360"/>
      <c r="G88" s="3384" t="s">
        <v>1860</v>
      </c>
      <c r="H88" s="3385"/>
      <c r="I88" s="3365"/>
      <c r="J88" s="3386" t="s">
        <v>2783</v>
      </c>
      <c r="K88" s="3352"/>
      <c r="L88" s="3352"/>
      <c r="M88" s="3352"/>
      <c r="N88" s="3352"/>
      <c r="O88" s="3352"/>
      <c r="P88" s="3352"/>
      <c r="Q88" s="3352"/>
      <c r="R88" s="3352"/>
      <c r="S88" s="3352"/>
      <c r="T88" s="3352"/>
      <c r="U88" s="3352"/>
      <c r="V88" s="3352"/>
      <c r="W88" s="3352"/>
      <c r="X88" s="3352"/>
      <c r="Y88" s="3352"/>
      <c r="Z88" s="3352"/>
      <c r="AA88" s="3353"/>
      <c r="AB88" s="3353"/>
      <c r="AC88" s="3353"/>
      <c r="AD88" s="3353"/>
      <c r="AE88" s="3353"/>
      <c r="AF88" s="3353"/>
      <c r="AG88" s="3353"/>
      <c r="AH88" s="3353"/>
      <c r="AI88" s="3353"/>
    </row>
    <row r="89" spans="1:35" s="3354" customFormat="1" ht="13.8">
      <c r="A89" s="3293" t="s">
        <v>596</v>
      </c>
      <c r="B89" s="3334" t="s">
        <v>1849</v>
      </c>
      <c r="C89" s="3334">
        <f>ROUND(C88*D89,0)</f>
        <v>0</v>
      </c>
      <c r="D89" s="3371">
        <f>'数据-取费表'!B48+'数据-取费表'!B49</f>
        <v>3.0499999999999999E-2</v>
      </c>
      <c r="E89" s="3276" t="s">
        <v>1861</v>
      </c>
      <c r="F89" s="3360"/>
      <c r="G89" s="3360"/>
      <c r="H89" s="3370"/>
      <c r="I89" s="3365"/>
      <c r="J89" s="3352"/>
      <c r="K89" s="3352"/>
      <c r="L89" s="3352"/>
      <c r="M89" s="3352"/>
      <c r="N89" s="3352"/>
      <c r="O89" s="3352"/>
      <c r="P89" s="3352"/>
      <c r="Q89" s="3352"/>
      <c r="R89" s="3352"/>
      <c r="S89" s="3352"/>
      <c r="T89" s="3352"/>
      <c r="U89" s="3352"/>
      <c r="V89" s="3352"/>
      <c r="W89" s="3352"/>
      <c r="X89" s="3352"/>
      <c r="Y89" s="3352"/>
      <c r="Z89" s="3352"/>
      <c r="AA89" s="3353"/>
      <c r="AB89" s="3353"/>
      <c r="AC89" s="3353"/>
      <c r="AD89" s="3353"/>
      <c r="AE89" s="3353"/>
      <c r="AF89" s="3353"/>
      <c r="AG89" s="3353"/>
      <c r="AH89" s="3353"/>
      <c r="AI89" s="3353"/>
    </row>
    <row r="90" spans="1:35" s="3354" customFormat="1" ht="14.4">
      <c r="A90" s="3293" t="s">
        <v>590</v>
      </c>
      <c r="B90" s="3334" t="s">
        <v>1862</v>
      </c>
      <c r="C90" s="3336"/>
      <c r="D90" s="3371"/>
      <c r="E90" s="3276" t="str">
        <f>IF(H88="-","土地取得成本中已包含该笔费用"," ")</f>
        <v xml:space="preserve"> </v>
      </c>
      <c r="F90" s="3360"/>
      <c r="G90" s="3729" t="s">
        <v>2628</v>
      </c>
      <c r="H90" s="3730"/>
      <c r="I90" s="3365"/>
      <c r="J90" s="3386" t="s">
        <v>2784</v>
      </c>
      <c r="K90" s="3352"/>
      <c r="L90" s="3352"/>
      <c r="M90" s="3352"/>
      <c r="N90" s="3352"/>
      <c r="O90" s="3352"/>
      <c r="P90" s="3352"/>
      <c r="Q90" s="3352"/>
      <c r="R90" s="3352"/>
      <c r="S90" s="3352"/>
      <c r="T90" s="3352"/>
      <c r="U90" s="3352"/>
      <c r="V90" s="3352"/>
      <c r="W90" s="3352"/>
      <c r="X90" s="3352"/>
      <c r="Y90" s="3352"/>
      <c r="Z90" s="3352"/>
      <c r="AA90" s="3353"/>
      <c r="AB90" s="3353"/>
      <c r="AC90" s="3353"/>
      <c r="AD90" s="3353"/>
      <c r="AE90" s="3353"/>
      <c r="AF90" s="3353"/>
      <c r="AG90" s="3353"/>
      <c r="AH90" s="3353"/>
      <c r="AI90" s="3353"/>
    </row>
    <row r="91" spans="1:35" s="3354" customFormat="1" ht="27.75" customHeight="1">
      <c r="A91" s="3293" t="s">
        <v>1863</v>
      </c>
      <c r="B91" s="3334" t="s">
        <v>1864</v>
      </c>
      <c r="C91" s="3334">
        <f>IF(H91="——",成本法!C33,I91)</f>
        <v>0</v>
      </c>
      <c r="D91" s="3371"/>
      <c r="E91" s="3756" t="s">
        <v>1865</v>
      </c>
      <c r="F91" s="3757"/>
      <c r="G91" s="3757"/>
      <c r="H91" s="3387"/>
      <c r="I91" s="3388"/>
      <c r="J91" s="3352"/>
      <c r="K91" s="3352"/>
      <c r="L91" s="3352"/>
      <c r="M91" s="3352"/>
      <c r="N91" s="3352"/>
      <c r="O91" s="3352"/>
      <c r="P91" s="3352"/>
      <c r="Q91" s="3352"/>
      <c r="R91" s="3352"/>
      <c r="S91" s="3352"/>
      <c r="T91" s="3352"/>
      <c r="U91" s="3352"/>
      <c r="V91" s="3352"/>
      <c r="W91" s="3352"/>
      <c r="X91" s="3352"/>
      <c r="Y91" s="3352"/>
      <c r="Z91" s="3352"/>
      <c r="AA91" s="3353"/>
      <c r="AB91" s="3353"/>
      <c r="AC91" s="3353"/>
      <c r="AD91" s="3353"/>
      <c r="AE91" s="3353"/>
      <c r="AF91" s="3353"/>
      <c r="AG91" s="3353"/>
      <c r="AH91" s="3353"/>
      <c r="AI91" s="3353"/>
    </row>
    <row r="92" spans="1:35" s="3354" customFormat="1" ht="25.5" customHeight="1">
      <c r="A92" s="3293" t="s">
        <v>1866</v>
      </c>
      <c r="B92" s="3334" t="s">
        <v>1867</v>
      </c>
      <c r="C92" s="3334">
        <f>ROUND((C87+C90+C91)*D92,0)</f>
        <v>0</v>
      </c>
      <c r="D92" s="3389"/>
      <c r="E92" s="3756" t="s">
        <v>1868</v>
      </c>
      <c r="F92" s="3757"/>
      <c r="G92" s="3757"/>
      <c r="H92" s="3758"/>
      <c r="I92" s="3365"/>
      <c r="J92" s="3390" t="s">
        <v>2785</v>
      </c>
      <c r="K92" s="3352"/>
      <c r="L92" s="3352"/>
      <c r="M92" s="3352"/>
      <c r="N92" s="3352"/>
      <c r="O92" s="3352"/>
      <c r="P92" s="3352"/>
      <c r="Q92" s="3352"/>
      <c r="R92" s="3352"/>
      <c r="S92" s="3352"/>
      <c r="T92" s="3352"/>
      <c r="U92" s="3352"/>
      <c r="V92" s="3352"/>
      <c r="W92" s="3352"/>
      <c r="X92" s="3352"/>
      <c r="Y92" s="3352"/>
      <c r="Z92" s="3352"/>
      <c r="AA92" s="3353"/>
      <c r="AB92" s="3353"/>
      <c r="AC92" s="3353"/>
      <c r="AD92" s="3353"/>
      <c r="AE92" s="3353"/>
      <c r="AF92" s="3353"/>
      <c r="AG92" s="3353"/>
      <c r="AH92" s="3353"/>
      <c r="AI92" s="3353"/>
    </row>
    <row r="93" spans="1:35" s="3354" customFormat="1" ht="25.5" customHeight="1">
      <c r="A93" s="3293" t="s">
        <v>1869</v>
      </c>
      <c r="B93" s="3334" t="s">
        <v>1851</v>
      </c>
      <c r="C93" s="3334">
        <f ca="1">ROUND(D45*D93/(1+'数据-取费表'!C42),0)</f>
        <v>2781</v>
      </c>
      <c r="D93" s="3371">
        <f>'数据-取费表'!B43</f>
        <v>6.000000000000001E-3</v>
      </c>
      <c r="E93" s="3756" t="s">
        <v>1852</v>
      </c>
      <c r="F93" s="3757"/>
      <c r="G93" s="3757"/>
      <c r="H93" s="3758"/>
      <c r="I93" s="3365"/>
      <c r="J93" s="3352"/>
      <c r="K93" s="3352"/>
      <c r="L93" s="3352"/>
      <c r="M93" s="3352"/>
      <c r="N93" s="3352"/>
      <c r="O93" s="3352"/>
      <c r="P93" s="3352"/>
      <c r="Q93" s="3352"/>
      <c r="R93" s="3352"/>
      <c r="S93" s="3352"/>
      <c r="T93" s="3352"/>
      <c r="U93" s="3352"/>
      <c r="V93" s="3352"/>
      <c r="W93" s="3352"/>
      <c r="X93" s="3352"/>
      <c r="Y93" s="3352"/>
      <c r="Z93" s="3352"/>
      <c r="AA93" s="3353"/>
      <c r="AB93" s="3353"/>
      <c r="AC93" s="3353"/>
      <c r="AD93" s="3353"/>
      <c r="AE93" s="3353"/>
      <c r="AF93" s="3353"/>
      <c r="AG93" s="3353"/>
      <c r="AH93" s="3353"/>
      <c r="AI93" s="3353"/>
    </row>
    <row r="94" spans="1:35" s="3354" customFormat="1" ht="36.75" customHeight="1">
      <c r="A94" s="3293" t="s">
        <v>1870</v>
      </c>
      <c r="B94" s="3334" t="s">
        <v>1871</v>
      </c>
      <c r="C94" s="3336">
        <f>ROUND((C87+C90+C91)*D94,0)</f>
        <v>0</v>
      </c>
      <c r="D94" s="3371">
        <v>0.2</v>
      </c>
      <c r="E94" s="3796" t="s">
        <v>1872</v>
      </c>
      <c r="F94" s="3797"/>
      <c r="G94" s="3797"/>
      <c r="H94" s="3798"/>
      <c r="I94" s="3365"/>
      <c r="J94" s="3352"/>
      <c r="K94" s="3352"/>
      <c r="L94" s="3352"/>
      <c r="M94" s="3352"/>
      <c r="N94" s="3352"/>
      <c r="O94" s="3352"/>
      <c r="P94" s="3352"/>
      <c r="Q94" s="3352"/>
      <c r="R94" s="3352"/>
      <c r="S94" s="3352"/>
      <c r="T94" s="3352"/>
      <c r="U94" s="3352"/>
      <c r="V94" s="3352"/>
      <c r="W94" s="3352"/>
      <c r="X94" s="3352"/>
      <c r="Y94" s="3352"/>
      <c r="Z94" s="3352"/>
      <c r="AA94" s="3353"/>
      <c r="AB94" s="3353"/>
      <c r="AC94" s="3353"/>
      <c r="AD94" s="3353"/>
      <c r="AE94" s="3353"/>
      <c r="AF94" s="3353"/>
      <c r="AG94" s="3353"/>
      <c r="AH94" s="3353"/>
      <c r="AI94" s="3353"/>
    </row>
    <row r="95" spans="1:35" s="3354" customFormat="1" ht="13.8">
      <c r="A95" s="3329" t="s">
        <v>598</v>
      </c>
      <c r="B95" s="3337" t="s">
        <v>1853</v>
      </c>
      <c r="C95" s="3337">
        <f ca="1">ROUND(C85-C86,0)</f>
        <v>460709</v>
      </c>
      <c r="D95" s="3334" t="s">
        <v>32</v>
      </c>
      <c r="E95" s="3359"/>
      <c r="F95" s="3360"/>
      <c r="G95" s="3360"/>
      <c r="H95" s="3382"/>
      <c r="I95" s="3365"/>
      <c r="J95" s="3352"/>
      <c r="K95" s="3352"/>
      <c r="L95" s="3352"/>
      <c r="M95" s="3352"/>
      <c r="N95" s="3352"/>
      <c r="O95" s="3352"/>
      <c r="P95" s="3352"/>
      <c r="Q95" s="3352"/>
      <c r="R95" s="3352"/>
      <c r="S95" s="3352"/>
      <c r="T95" s="3352"/>
      <c r="U95" s="3352"/>
      <c r="V95" s="3352"/>
      <c r="W95" s="3352"/>
      <c r="X95" s="3352"/>
      <c r="Y95" s="3352"/>
      <c r="Z95" s="3352"/>
      <c r="AA95" s="3353"/>
      <c r="AB95" s="3353"/>
      <c r="AC95" s="3353"/>
      <c r="AD95" s="3353"/>
      <c r="AE95" s="3353"/>
      <c r="AF95" s="3353"/>
      <c r="AG95" s="3353"/>
      <c r="AH95" s="3353"/>
      <c r="AI95" s="3353"/>
    </row>
    <row r="96" spans="1:35" s="3354" customFormat="1" ht="24">
      <c r="A96" s="3329" t="s">
        <v>599</v>
      </c>
      <c r="B96" s="3337" t="s">
        <v>1854</v>
      </c>
      <c r="C96" s="3337">
        <f ca="1">IF(C95&lt;=0,0,C95/C86)</f>
        <v>165.66307083782812</v>
      </c>
      <c r="D96" s="3334" t="s">
        <v>32</v>
      </c>
      <c r="E96" s="3276" t="str">
        <f ca="1">IF(C96&gt;=200%,"增值额超过扣除项目金额200%",IF(C96&gt;=100%,"增值额超过扣除项目金额100%，未超过200%",IF(C96&gt;=50%,"增值额超过扣除项目金额50%，未超过100%",IF(C96&lt;50%,"增值额未超过扣除项目金额50%"))))</f>
        <v>增值额超过扣除项目金额200%</v>
      </c>
      <c r="F96" s="3360"/>
      <c r="G96" s="3360"/>
      <c r="H96" s="3382"/>
      <c r="I96" s="3365"/>
      <c r="J96" s="3352"/>
      <c r="K96" s="3352"/>
      <c r="L96" s="3352"/>
      <c r="M96" s="3352"/>
      <c r="N96" s="3352"/>
      <c r="O96" s="3352"/>
      <c r="P96" s="3352"/>
      <c r="Q96" s="3352"/>
      <c r="R96" s="3352"/>
      <c r="S96" s="3352"/>
      <c r="T96" s="3352"/>
      <c r="U96" s="3352"/>
      <c r="V96" s="3352"/>
      <c r="W96" s="3352"/>
      <c r="X96" s="3352"/>
      <c r="Y96" s="3352"/>
      <c r="Z96" s="3352"/>
      <c r="AA96" s="3353"/>
      <c r="AB96" s="3353"/>
      <c r="AC96" s="3353"/>
      <c r="AD96" s="3353"/>
      <c r="AE96" s="3353"/>
      <c r="AF96" s="3353"/>
      <c r="AG96" s="3353"/>
      <c r="AH96" s="3353"/>
      <c r="AI96" s="3353"/>
    </row>
    <row r="97" spans="1:35" s="3354" customFormat="1" ht="24.6" thickBot="1">
      <c r="A97" s="3340" t="s">
        <v>600</v>
      </c>
      <c r="B97" s="3341" t="s">
        <v>1855</v>
      </c>
      <c r="C97" s="3373">
        <f ca="1">ROUND(IF(C95&lt;=0,0,IF(C96&gt;=200%,C95*60%-C86*35%,IF(C96&gt;=100%,C95*50%-C86*15%,IF(C96&gt;=50%,C95*40%-C86*5%,IF(C96&lt;50%,C95*30%,0))))),0)</f>
        <v>275452</v>
      </c>
      <c r="D97" s="3342" t="s">
        <v>32</v>
      </c>
      <c r="E97" s="33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5"/>
      <c r="G97" s="3375"/>
      <c r="H97" s="3391"/>
      <c r="I97" s="3365"/>
      <c r="J97" s="3352"/>
      <c r="K97" s="3352"/>
      <c r="L97" s="3352"/>
      <c r="M97" s="3352"/>
      <c r="N97" s="3352"/>
      <c r="O97" s="3352"/>
      <c r="P97" s="3352"/>
      <c r="Q97" s="3352"/>
      <c r="R97" s="3352"/>
      <c r="S97" s="3352"/>
      <c r="T97" s="3352"/>
      <c r="U97" s="3352"/>
      <c r="V97" s="3352"/>
      <c r="W97" s="3352"/>
      <c r="X97" s="3352"/>
      <c r="Y97" s="3352"/>
      <c r="Z97" s="3352"/>
      <c r="AA97" s="3353"/>
      <c r="AB97" s="3353"/>
      <c r="AC97" s="3353"/>
      <c r="AD97" s="3353"/>
      <c r="AE97" s="3353"/>
      <c r="AF97" s="3353"/>
      <c r="AG97" s="3353"/>
      <c r="AH97" s="3353"/>
      <c r="AI97" s="3353"/>
    </row>
    <row r="98" spans="1:35" ht="21.75" customHeight="1">
      <c r="A98" s="3321"/>
      <c r="B98" s="3167"/>
      <c r="C98" s="3167"/>
      <c r="D98" s="3167"/>
      <c r="E98" s="3322"/>
      <c r="F98" s="3322"/>
      <c r="G98" s="3322"/>
      <c r="H98" s="2462"/>
      <c r="I98" s="3183"/>
    </row>
    <row r="99" spans="1:35" ht="21.75" customHeight="1" thickBot="1">
      <c r="A99" s="3258" t="s">
        <v>1873</v>
      </c>
      <c r="B99" s="3167"/>
      <c r="C99" s="3167"/>
      <c r="D99" s="3167"/>
      <c r="E99" s="3322"/>
      <c r="F99" s="3322"/>
      <c r="G99" s="3322"/>
      <c r="H99" s="2462"/>
      <c r="I99" s="3183"/>
    </row>
    <row r="100" spans="1:35" ht="18.75" customHeight="1">
      <c r="A100" s="3703" t="s">
        <v>1874</v>
      </c>
      <c r="B100" s="3704"/>
      <c r="C100" s="3704"/>
      <c r="D100" s="3741"/>
      <c r="E100" s="3704" t="s">
        <v>1875</v>
      </c>
      <c r="F100" s="3704"/>
      <c r="G100" s="3704"/>
      <c r="H100" s="3741"/>
      <c r="I100" s="3183"/>
    </row>
    <row r="101" spans="1:35" ht="18.75" customHeight="1">
      <c r="A101" s="3749" t="s">
        <v>1876</v>
      </c>
      <c r="B101" s="3750"/>
      <c r="C101" s="3392" t="str">
        <f>C4</f>
        <v>成本法</v>
      </c>
      <c r="D101" s="3393" t="str">
        <f>D4</f>
        <v>假设开发法</v>
      </c>
      <c r="E101" s="3723" t="s">
        <v>1877</v>
      </c>
      <c r="F101" s="3724"/>
      <c r="G101" s="3394" t="s">
        <v>1878</v>
      </c>
      <c r="H101" s="3395">
        <f ca="1">H118</f>
        <v>486665</v>
      </c>
      <c r="I101" s="3183"/>
    </row>
    <row r="102" spans="1:35" ht="18.75" customHeight="1">
      <c r="A102" s="3751" t="s">
        <v>1879</v>
      </c>
      <c r="B102" s="3396" t="s">
        <v>1878</v>
      </c>
      <c r="C102" s="3392">
        <f ca="1">C19</f>
        <v>523451</v>
      </c>
      <c r="D102" s="3393">
        <f ca="1">D19</f>
        <v>462141</v>
      </c>
      <c r="E102" s="3723"/>
      <c r="F102" s="3724"/>
      <c r="G102" s="3394" t="s">
        <v>1880</v>
      </c>
      <c r="H102" s="3274">
        <f ca="1">I118</f>
        <v>39890</v>
      </c>
      <c r="I102" s="3183"/>
    </row>
    <row r="103" spans="1:35" ht="42.75" customHeight="1">
      <c r="A103" s="3751"/>
      <c r="B103" s="3396" t="s">
        <v>1880</v>
      </c>
      <c r="C103" s="3397">
        <f ca="1">C20</f>
        <v>42905</v>
      </c>
      <c r="D103" s="3398">
        <f ca="1">D20</f>
        <v>37880</v>
      </c>
      <c r="E103" s="3717" t="s">
        <v>1881</v>
      </c>
      <c r="F103" s="3718"/>
      <c r="G103" s="3399" t="s">
        <v>1882</v>
      </c>
      <c r="H103" s="3395">
        <f>IF(D36="正常操作",H104+H105+H106,H105+H106)</f>
        <v>0</v>
      </c>
      <c r="I103" s="3183"/>
    </row>
    <row r="104" spans="1:35" ht="18.75" customHeight="1">
      <c r="A104" s="3751" t="s">
        <v>1883</v>
      </c>
      <c r="B104" s="3400" t="s">
        <v>1878</v>
      </c>
      <c r="C104" s="3401">
        <f ca="1">H118</f>
        <v>486665</v>
      </c>
      <c r="D104" s="3402"/>
      <c r="E104" s="3158" t="s">
        <v>1884</v>
      </c>
      <c r="F104" s="3131"/>
      <c r="G104" s="3399" t="s">
        <v>1882</v>
      </c>
      <c r="H104" s="3403">
        <f>IF(D36="同一抵押权人同一抵押物续贷",C36&amp;"（续贷，未扣减，详见特别提示）",C36)</f>
        <v>0</v>
      </c>
      <c r="I104" s="3183"/>
    </row>
    <row r="105" spans="1:35" ht="18.75" customHeight="1" thickBot="1">
      <c r="A105" s="3761"/>
      <c r="B105" s="3404" t="s">
        <v>1880</v>
      </c>
      <c r="C105" s="3405">
        <f ca="1">I118</f>
        <v>39890</v>
      </c>
      <c r="D105" s="3406"/>
      <c r="E105" s="3158" t="s">
        <v>1885</v>
      </c>
      <c r="F105" s="3131"/>
      <c r="G105" s="3399" t="s">
        <v>1882</v>
      </c>
      <c r="H105" s="3407">
        <f>C37</f>
        <v>0</v>
      </c>
      <c r="I105" s="3183"/>
    </row>
    <row r="106" spans="1:35" ht="18.75" customHeight="1">
      <c r="A106" s="3167" t="s">
        <v>1886</v>
      </c>
      <c r="B106" s="3167"/>
      <c r="C106" s="3167"/>
      <c r="D106" s="3167"/>
      <c r="E106" s="3408" t="s">
        <v>1887</v>
      </c>
      <c r="F106" s="3131"/>
      <c r="G106" s="3399" t="s">
        <v>1882</v>
      </c>
      <c r="H106" s="3407">
        <f>C38</f>
        <v>0</v>
      </c>
      <c r="I106" s="3183"/>
    </row>
    <row r="107" spans="1:35" ht="18.75" customHeight="1">
      <c r="A107" s="3183"/>
      <c r="B107" s="3183"/>
      <c r="C107" s="3183"/>
      <c r="D107" s="3183"/>
      <c r="E107" s="3752" t="str">
        <f>IF(项目基本情况!E8="已注销","——","3.房地产抵押价值")</f>
        <v>3.房地产抵押价值</v>
      </c>
      <c r="F107" s="3724"/>
      <c r="G107" s="3394" t="s">
        <v>1878</v>
      </c>
      <c r="H107" s="3395">
        <f ca="1">IF(E107="——","——",H101-H103)</f>
        <v>486665</v>
      </c>
      <c r="I107" s="3183"/>
    </row>
    <row r="108" spans="1:35" ht="18.75" customHeight="1">
      <c r="A108" s="3183"/>
      <c r="B108" s="3183"/>
      <c r="C108" s="3183"/>
      <c r="D108" s="3183"/>
      <c r="E108" s="3752"/>
      <c r="F108" s="3724"/>
      <c r="G108" s="3394" t="s">
        <v>1880</v>
      </c>
      <c r="H108" s="3274">
        <f ca="1">ROUND(H107*10000/'数据-汇总表'!E3,0)</f>
        <v>39890</v>
      </c>
      <c r="I108" s="3183"/>
    </row>
    <row r="109" spans="1:35" ht="18.75" customHeight="1">
      <c r="A109" s="3183"/>
      <c r="B109" s="3183"/>
      <c r="C109" s="3183"/>
      <c r="D109" s="3183"/>
      <c r="E109" s="3752" t="str">
        <f>IF(项目基本情况!E8="已注销及未注销","4.抵押担保权已注销时的房地产抵押价值",IF(项目基本情况!E8="已注销","3.抵押担保权已注销时的房地产抵押价值","——"))</f>
        <v>——</v>
      </c>
      <c r="F109" s="3724"/>
      <c r="G109" s="3394" t="s">
        <v>1878</v>
      </c>
      <c r="H109" s="3409" t="str">
        <f>IF(E109="——","——",H101-H105-H106)</f>
        <v>——</v>
      </c>
      <c r="I109" s="3183"/>
    </row>
    <row r="110" spans="1:35" ht="18.75" customHeight="1">
      <c r="A110" s="3183"/>
      <c r="B110" s="3183"/>
      <c r="C110" s="3183"/>
      <c r="D110" s="3183"/>
      <c r="E110" s="3752"/>
      <c r="F110" s="3724"/>
      <c r="G110" s="3394" t="s">
        <v>1880</v>
      </c>
      <c r="H110" s="3274" t="str">
        <f>IF(H109="——","——",ROUND(H109*10000/'数据-汇总表'!E3,0))</f>
        <v>——</v>
      </c>
      <c r="I110" s="3183"/>
    </row>
    <row r="111" spans="1:35" ht="18.75" customHeight="1">
      <c r="A111" s="3183"/>
      <c r="B111" s="3183"/>
      <c r="C111" s="3183"/>
      <c r="D111" s="3183"/>
      <c r="E111" s="3753" t="str">
        <f>IF(项目基本情况!E9="抵押净值",IF(OR(项目基本情况!E8="已注销",项目基本情况!E8="房地产抵押价值"),"4.抵押净值","5.抵押净值"),"——")</f>
        <v>——</v>
      </c>
      <c r="F111" s="3739"/>
      <c r="G111" s="3394" t="s">
        <v>1878</v>
      </c>
      <c r="H111" s="3395" t="str">
        <f>IF(E111="——","——",N59)</f>
        <v>——</v>
      </c>
      <c r="I111" s="3183"/>
    </row>
    <row r="112" spans="1:35" ht="18.75" customHeight="1" thickBot="1">
      <c r="A112" s="3183"/>
      <c r="B112" s="3183"/>
      <c r="C112" s="3183"/>
      <c r="D112" s="3183"/>
      <c r="E112" s="3754"/>
      <c r="F112" s="3755"/>
      <c r="G112" s="3410" t="s">
        <v>1880</v>
      </c>
      <c r="H112" s="3411" t="str">
        <f>IF(E111="——","——",N61)</f>
        <v>——</v>
      </c>
      <c r="I112" s="3183"/>
    </row>
    <row r="113" spans="1:27" ht="18.75" customHeight="1">
      <c r="A113" s="3183"/>
      <c r="B113" s="3183"/>
      <c r="C113" s="3183"/>
      <c r="D113" s="3183"/>
      <c r="E113" s="3762" t="s">
        <v>1886</v>
      </c>
      <c r="F113" s="3762"/>
      <c r="G113" s="3762"/>
      <c r="H113" s="3762"/>
      <c r="I113" s="3183"/>
    </row>
    <row r="114" spans="1:27" ht="3.75" customHeight="1">
      <c r="A114" s="3167"/>
      <c r="B114" s="3167"/>
      <c r="C114" s="3167"/>
      <c r="D114" s="3167"/>
      <c r="E114" s="3321"/>
      <c r="F114" s="3321"/>
      <c r="G114" s="3321"/>
      <c r="H114" s="3321"/>
      <c r="I114" s="3167"/>
    </row>
    <row r="115" spans="1:27" ht="18.75" customHeight="1">
      <c r="A115" s="3766" t="s">
        <v>1888</v>
      </c>
      <c r="B115" s="3767"/>
      <c r="C115" s="3767"/>
      <c r="D115" s="3767"/>
      <c r="E115" s="3767"/>
      <c r="F115" s="3767"/>
      <c r="G115" s="3767"/>
      <c r="H115" s="3767"/>
      <c r="I115" s="3768"/>
    </row>
    <row r="116" spans="1:27" ht="27" customHeight="1">
      <c r="A116" s="3731" t="s">
        <v>1889</v>
      </c>
      <c r="B116" s="3710" t="s">
        <v>1890</v>
      </c>
      <c r="C116" s="3710" t="s">
        <v>1891</v>
      </c>
      <c r="D116" s="3712" t="s">
        <v>1892</v>
      </c>
      <c r="E116" s="3713"/>
      <c r="F116" s="3714" t="s">
        <v>1893</v>
      </c>
      <c r="G116" s="3714"/>
      <c r="H116" s="3731" t="s">
        <v>1894</v>
      </c>
      <c r="I116" s="3731"/>
    </row>
    <row r="117" spans="1:27" ht="18.75" customHeight="1">
      <c r="A117" s="3731"/>
      <c r="B117" s="3711"/>
      <c r="C117" s="3711"/>
      <c r="D117" s="3412" t="s">
        <v>1895</v>
      </c>
      <c r="E117" s="3412" t="s">
        <v>1896</v>
      </c>
      <c r="F117" s="3412" t="s">
        <v>1895</v>
      </c>
      <c r="G117" s="3412" t="s">
        <v>1897</v>
      </c>
      <c r="H117" s="3412" t="s">
        <v>1895</v>
      </c>
      <c r="I117" s="3412" t="s">
        <v>1897</v>
      </c>
    </row>
    <row r="118" spans="1:27" ht="24.75" customHeight="1">
      <c r="A118" s="3413" t="str">
        <f>项目基本情况!S2</f>
        <v>北京市朝阳区金盏乡小店村3005-02地块R2二类居住用地出让国有建设用地使用权及在建建筑物房地产</v>
      </c>
      <c r="B118" s="3412">
        <f>M18</f>
        <v>122002.77</v>
      </c>
      <c r="C118" s="3412">
        <f>M19</f>
        <v>52221.18</v>
      </c>
      <c r="D118" s="3412">
        <f ca="1">H118-F118</f>
        <v>456545</v>
      </c>
      <c r="E118" s="3412">
        <f ca="1">ROUND(IF(C33="自定义",IF(D32="楼面单价",C34,D118*10000/B118),I118-G118),0)</f>
        <v>37421</v>
      </c>
      <c r="F118" s="3412">
        <f ca="1">成本法!C51</f>
        <v>30120</v>
      </c>
      <c r="G118" s="3412">
        <f ca="1">ROUND(IF(D32="楼面单价",C35,F118*10000/B118),0)</f>
        <v>2469</v>
      </c>
      <c r="H118" s="3412">
        <f ca="1">ROUND(IF(D32="总价",C32,I118*B118/10000),0)</f>
        <v>486665</v>
      </c>
      <c r="I118" s="3412">
        <f ca="1">ROUND(IF(D32="楼面单价",C32,H118*10000/B118),0)</f>
        <v>39890</v>
      </c>
    </row>
    <row r="119" spans="1:27" ht="18.75" customHeight="1">
      <c r="A119" s="3731" t="s">
        <v>1898</v>
      </c>
      <c r="B119" s="3731"/>
      <c r="C119" s="3731"/>
      <c r="D119" s="3735" t="str">
        <f ca="1">NUMBERSTRING(INT(D118*10000),2)&amp;"元整"</f>
        <v>肆拾伍亿陆仟伍佰肆拾伍万元整</v>
      </c>
      <c r="E119" s="3736"/>
      <c r="F119" s="3735" t="str">
        <f ca="1">NUMBERSTRING(INT(F118*10000),2)&amp;"元整"</f>
        <v>叁亿零壹佰贰拾万元整</v>
      </c>
      <c r="G119" s="3736"/>
      <c r="H119" s="3735" t="str">
        <f ca="1">NUMBERSTRING(INT(H118*10000),2)&amp;"元整"</f>
        <v>肆拾捌亿陆仟陆佰陆拾伍万元整</v>
      </c>
      <c r="I119" s="3736"/>
    </row>
    <row r="120" spans="1:27" ht="18.75" customHeight="1">
      <c r="A120" s="3732" t="str">
        <f>IF(项目基本情况!B9="房地产市场价值","",MID(E103,3,LEN(E103)-2))</f>
        <v>估价师知悉的法定优先受偿款</v>
      </c>
      <c r="B120" s="3733"/>
      <c r="C120" s="3734"/>
      <c r="D120" s="3732">
        <f>H103</f>
        <v>0</v>
      </c>
      <c r="E120" s="3733"/>
      <c r="F120" s="3733"/>
      <c r="G120" s="3733"/>
      <c r="H120" s="3733"/>
      <c r="I120" s="3734"/>
      <c r="J120" s="3173"/>
      <c r="K120" s="3173" t="str">
        <f>IF(D120=0,"故，本次评估不存在"&amp;A120,"故，本次评估"&amp;A120&amp;"为人民币"&amp;D120&amp;"万元整。")</f>
        <v>故，本次评估不存在估价师知悉的法定优先受偿款</v>
      </c>
      <c r="L120" s="3173"/>
      <c r="M120" s="3173"/>
      <c r="N120" s="3173"/>
      <c r="O120" s="3173"/>
      <c r="P120" s="3173"/>
      <c r="Q120" s="3173"/>
      <c r="R120" s="3173"/>
      <c r="S120" s="3173"/>
    </row>
    <row r="121" spans="1:27" ht="18.75" customHeight="1">
      <c r="A121" s="3735" t="s">
        <v>1898</v>
      </c>
      <c r="B121" s="3737"/>
      <c r="C121" s="3736"/>
      <c r="D121" s="3735" t="str">
        <f>IF(D120=0,"零元整",NUMBERSTRING(INT(D120*10000),2)&amp;"元整")</f>
        <v>零元整</v>
      </c>
      <c r="E121" s="3737"/>
      <c r="F121" s="3737"/>
      <c r="G121" s="3737"/>
      <c r="H121" s="3737"/>
      <c r="I121" s="3736"/>
      <c r="AA121" s="3172"/>
    </row>
    <row r="122" spans="1:27" ht="18.75" customHeight="1">
      <c r="A122" s="3739" t="str">
        <f>IF(项目基本情况!B9="房地产市场价值","",MID(E107,3,LEN(E107)-2))</f>
        <v>房地产抵押价值</v>
      </c>
      <c r="B122" s="3739"/>
      <c r="C122" s="3739"/>
      <c r="D122" s="3732">
        <f ca="1">H107</f>
        <v>486665</v>
      </c>
      <c r="E122" s="3733"/>
      <c r="F122" s="3733"/>
      <c r="G122" s="3733"/>
      <c r="H122" s="3733"/>
      <c r="I122" s="3734"/>
      <c r="AA122" s="3172"/>
    </row>
    <row r="123" spans="1:27" ht="18.75" customHeight="1">
      <c r="A123" s="3731" t="s">
        <v>1898</v>
      </c>
      <c r="B123" s="3731"/>
      <c r="C123" s="3731"/>
      <c r="D123" s="3735" t="str">
        <f ca="1">NUMBERSTRING(INT(D122*10000),2)&amp;"元整"</f>
        <v>肆拾捌亿陆仟陆佰陆拾伍万元整</v>
      </c>
      <c r="E123" s="3737"/>
      <c r="F123" s="3737"/>
      <c r="G123" s="3737"/>
      <c r="H123" s="3737"/>
      <c r="I123" s="3736"/>
      <c r="AA123" s="3172"/>
    </row>
    <row r="124" spans="1:27" ht="18.75" customHeight="1">
      <c r="A124" s="3739" t="str">
        <f>IF(项目基本情况!B9="房地产市场价值","",MID(E109,3,LEN(E109)-2))</f>
        <v/>
      </c>
      <c r="B124" s="3739"/>
      <c r="C124" s="3739"/>
      <c r="D124" s="3732" t="str">
        <f>H109</f>
        <v>——</v>
      </c>
      <c r="E124" s="3733"/>
      <c r="F124" s="3733"/>
      <c r="G124" s="3733"/>
      <c r="H124" s="3733"/>
      <c r="I124" s="3734"/>
      <c r="AA124" s="3172"/>
    </row>
    <row r="125" spans="1:27" ht="18.75" customHeight="1">
      <c r="A125" s="3731" t="s">
        <v>1898</v>
      </c>
      <c r="B125" s="3731"/>
      <c r="C125" s="3731"/>
      <c r="D125" s="3735" t="e">
        <f>NUMBERSTRING(INT(D124*10000),2)&amp;"元整"</f>
        <v>#VALUE!</v>
      </c>
      <c r="E125" s="3737"/>
      <c r="F125" s="3737"/>
      <c r="G125" s="3737"/>
      <c r="H125" s="3737"/>
      <c r="I125" s="3736"/>
      <c r="AA125" s="3172"/>
    </row>
    <row r="126" spans="1:27" ht="18.75" customHeight="1">
      <c r="A126" s="3739" t="str">
        <f>IF(项目基本情况!B9="房地产市场价值","",MID(E111,3,LEN(E111)-2))</f>
        <v/>
      </c>
      <c r="B126" s="3739"/>
      <c r="C126" s="3739"/>
      <c r="D126" s="3732" t="str">
        <f>H111</f>
        <v>——</v>
      </c>
      <c r="E126" s="3733"/>
      <c r="F126" s="3733"/>
      <c r="G126" s="3733"/>
      <c r="H126" s="3733"/>
      <c r="I126" s="3734"/>
      <c r="AA126" s="3172"/>
    </row>
    <row r="127" spans="1:27" ht="18.75" customHeight="1">
      <c r="A127" s="3731" t="s">
        <v>1898</v>
      </c>
      <c r="B127" s="3731"/>
      <c r="C127" s="3731"/>
      <c r="D127" s="3735" t="e">
        <f>NUMBERSTRING(INT(D126*10000),2)&amp;"元整"</f>
        <v>#VALUE!</v>
      </c>
      <c r="E127" s="3737"/>
      <c r="F127" s="3737"/>
      <c r="G127" s="3737"/>
      <c r="H127" s="3737"/>
      <c r="I127" s="3736"/>
      <c r="AA127" s="3172"/>
    </row>
    <row r="128" spans="1:27" ht="21.75" customHeight="1">
      <c r="A128" s="3738" t="s">
        <v>1899</v>
      </c>
      <c r="B128" s="3738"/>
      <c r="C128" s="3738"/>
      <c r="D128" s="3738"/>
      <c r="E128" s="3738"/>
      <c r="F128" s="3738"/>
      <c r="G128" s="3738"/>
      <c r="H128" s="3738"/>
      <c r="I128" s="3738"/>
      <c r="AA128" s="3172"/>
    </row>
    <row r="129" spans="1:35" ht="21.75" customHeight="1">
      <c r="A129" s="3414" t="s">
        <v>1900</v>
      </c>
      <c r="B129" s="3415"/>
      <c r="C129" s="3416" t="s">
        <v>1901</v>
      </c>
      <c r="D129" s="3417"/>
      <c r="E129" s="3417"/>
      <c r="F129" s="3417"/>
      <c r="G129" s="3417"/>
      <c r="H129" s="3418"/>
      <c r="I129" s="3419"/>
      <c r="AA129" s="3172"/>
    </row>
    <row r="130" spans="1:35" ht="21.75" customHeight="1">
      <c r="A130" s="3420">
        <v>1</v>
      </c>
      <c r="B130" s="3421"/>
      <c r="C130" s="3421"/>
      <c r="D130" s="3422"/>
      <c r="E130" s="3422"/>
      <c r="F130" s="3422"/>
      <c r="G130" s="3422"/>
      <c r="H130" s="3423"/>
      <c r="I130" s="3424"/>
      <c r="AA130" s="3172"/>
    </row>
    <row r="131" spans="1:35" ht="21.75" customHeight="1">
      <c r="A131" s="3420">
        <v>2</v>
      </c>
      <c r="B131" s="3421"/>
      <c r="C131" s="3421"/>
      <c r="D131" s="3422"/>
      <c r="E131" s="3422"/>
      <c r="F131" s="3422"/>
      <c r="G131" s="3422"/>
      <c r="H131" s="3423"/>
      <c r="I131" s="3424"/>
      <c r="AA131" s="3172"/>
    </row>
    <row r="132" spans="1:35" ht="21.75" customHeight="1">
      <c r="A132" s="3420">
        <v>3</v>
      </c>
      <c r="B132" s="3421"/>
      <c r="C132" s="3421"/>
      <c r="D132" s="3422"/>
      <c r="E132" s="3422"/>
      <c r="F132" s="3422"/>
      <c r="G132" s="3422"/>
      <c r="H132" s="3423"/>
      <c r="I132" s="3424"/>
      <c r="AA132" s="3172"/>
    </row>
    <row r="133" spans="1:35" ht="21.75" customHeight="1">
      <c r="A133" s="3425"/>
      <c r="B133" s="3426"/>
      <c r="C133" s="3426"/>
      <c r="D133" s="3427"/>
      <c r="E133" s="3427"/>
      <c r="F133" s="3427"/>
      <c r="G133" s="3427"/>
      <c r="H133" s="3428"/>
      <c r="I133" s="3429"/>
    </row>
    <row r="134" spans="1:35" ht="21.75" customHeight="1">
      <c r="A134" s="3421"/>
      <c r="B134" s="3421"/>
      <c r="C134" s="3421"/>
      <c r="D134" s="3422"/>
      <c r="E134" s="3422"/>
      <c r="F134" s="3422"/>
      <c r="G134" s="3422"/>
      <c r="H134" s="3423"/>
      <c r="I134" s="3172"/>
    </row>
    <row r="135" spans="1:35" ht="21.75" customHeight="1">
      <c r="A135" s="3172"/>
      <c r="B135" s="3172"/>
      <c r="C135" s="3172"/>
      <c r="D135" s="3172"/>
      <c r="E135" s="3172"/>
      <c r="F135" s="3430" t="s">
        <v>1902</v>
      </c>
      <c r="G135" s="3431"/>
      <c r="H135" s="3431"/>
      <c r="I135" s="3432" t="s">
        <v>1903</v>
      </c>
    </row>
    <row r="136" spans="1:35" ht="21.75" customHeight="1">
      <c r="A136" s="3172"/>
      <c r="B136" s="3433" t="s">
        <v>1904</v>
      </c>
      <c r="C136" s="3172"/>
      <c r="D136" s="3172"/>
      <c r="E136" s="3172"/>
      <c r="F136" s="3172"/>
      <c r="G136" s="3172"/>
      <c r="H136" s="3172"/>
      <c r="I136" s="3172"/>
    </row>
    <row r="137" spans="1:35" ht="21.75" customHeight="1">
      <c r="A137" s="3172"/>
      <c r="B137" s="3172"/>
      <c r="C137" s="3172"/>
      <c r="D137" s="3172"/>
      <c r="E137" s="3172"/>
      <c r="F137" s="3172"/>
      <c r="G137" s="3172"/>
      <c r="H137" s="3172"/>
      <c r="I137" s="3172"/>
    </row>
    <row r="138" spans="1:35" ht="21.75" customHeight="1">
      <c r="A138" s="3172"/>
      <c r="B138" s="3431"/>
      <c r="C138" s="3431"/>
      <c r="D138" s="3431"/>
      <c r="E138" s="3431"/>
      <c r="F138" s="3431"/>
      <c r="G138" s="3431"/>
      <c r="H138" s="3431"/>
      <c r="I138" s="3432" t="s">
        <v>1905</v>
      </c>
    </row>
    <row r="139" spans="1:35" ht="21.75" customHeight="1">
      <c r="A139" s="3172"/>
      <c r="B139" s="3433" t="s">
        <v>1906</v>
      </c>
      <c r="C139" s="3172"/>
      <c r="D139" s="3172"/>
      <c r="E139" s="3172"/>
      <c r="F139" s="3172"/>
      <c r="G139" s="3172"/>
      <c r="H139" s="3172"/>
      <c r="I139" s="3172"/>
    </row>
    <row r="140" spans="1:35" ht="21.75" customHeight="1">
      <c r="A140" s="3172"/>
      <c r="B140" s="3433"/>
      <c r="C140" s="3172"/>
      <c r="D140" s="3172"/>
      <c r="E140" s="3172"/>
      <c r="F140" s="3172"/>
      <c r="G140" s="3172"/>
      <c r="H140" s="3172"/>
      <c r="I140" s="3172"/>
    </row>
    <row r="141" spans="1:35" ht="21.75" customHeight="1">
      <c r="A141" s="3172"/>
      <c r="B141" s="3431"/>
      <c r="C141" s="3431"/>
      <c r="D141" s="3431"/>
      <c r="E141" s="3431"/>
      <c r="F141" s="3431"/>
      <c r="G141" s="3431"/>
      <c r="H141" s="3431"/>
      <c r="I141" s="3432" t="s">
        <v>1905</v>
      </c>
    </row>
    <row r="142" spans="1:35" ht="21.75" customHeight="1">
      <c r="A142" s="3172"/>
      <c r="B142" s="3433"/>
      <c r="C142" s="3081"/>
      <c r="D142" s="3434"/>
      <c r="E142" s="3434"/>
      <c r="F142" s="3081"/>
      <c r="G142" s="3172"/>
      <c r="H142" s="3172"/>
      <c r="I142" s="3172"/>
    </row>
    <row r="143" spans="1:35" s="3435" customFormat="1" ht="21.75" customHeight="1">
      <c r="A143" s="3172"/>
      <c r="B143" s="3433"/>
      <c r="C143" s="3081"/>
      <c r="D143" s="3434"/>
      <c r="E143" s="3434"/>
      <c r="F143" s="3081"/>
      <c r="G143" s="3172"/>
      <c r="H143" s="3172"/>
      <c r="I143" s="3172"/>
      <c r="J143" s="3172"/>
      <c r="K143" s="3172"/>
      <c r="L143" s="3172"/>
      <c r="M143" s="3172"/>
      <c r="N143" s="3172"/>
      <c r="O143" s="3172"/>
      <c r="P143" s="3172"/>
      <c r="Q143" s="3172"/>
      <c r="R143" s="3172"/>
      <c r="S143" s="3172"/>
      <c r="T143" s="3172"/>
      <c r="U143" s="3172"/>
      <c r="V143" s="3172"/>
      <c r="W143" s="3172"/>
      <c r="X143" s="3172"/>
      <c r="Y143" s="3172"/>
      <c r="Z143" s="3172"/>
      <c r="AA143" s="3172"/>
      <c r="AB143" s="3172"/>
      <c r="AC143" s="3172"/>
      <c r="AD143" s="3172"/>
      <c r="AE143" s="3172"/>
      <c r="AF143" s="3172"/>
      <c r="AG143" s="3172"/>
      <c r="AH143" s="3172"/>
      <c r="AI143" s="3172"/>
    </row>
    <row r="144" spans="1:35" s="3435" customFormat="1" ht="21.75" customHeight="1">
      <c r="A144" s="3172"/>
      <c r="B144" s="3172"/>
      <c r="C144" s="3172"/>
      <c r="D144" s="3172"/>
      <c r="E144" s="3172"/>
      <c r="F144" s="3172"/>
      <c r="G144" s="3172"/>
      <c r="H144" s="3172"/>
      <c r="I144" s="3172"/>
      <c r="J144" s="3172"/>
      <c r="K144" s="3172"/>
      <c r="L144" s="3172"/>
      <c r="M144" s="3172"/>
      <c r="N144" s="3172"/>
      <c r="O144" s="3172"/>
      <c r="P144" s="3172"/>
      <c r="Q144" s="3172"/>
      <c r="R144" s="3172"/>
      <c r="S144" s="3172"/>
      <c r="T144" s="3172"/>
      <c r="U144" s="3172"/>
      <c r="V144" s="3172"/>
      <c r="W144" s="3172"/>
      <c r="X144" s="3172"/>
      <c r="Y144" s="3172"/>
      <c r="Z144" s="3172"/>
      <c r="AA144" s="3172"/>
      <c r="AB144" s="3172"/>
      <c r="AC144" s="3172"/>
      <c r="AD144" s="3172"/>
      <c r="AE144" s="3172"/>
      <c r="AF144" s="3172"/>
      <c r="AG144" s="3172"/>
      <c r="AH144" s="3172"/>
      <c r="AI144" s="3172"/>
    </row>
    <row r="145" spans="1:35" s="3435" customFormat="1" ht="21.75" customHeight="1">
      <c r="A145" s="3172"/>
      <c r="B145" s="3172"/>
      <c r="C145" s="3172"/>
      <c r="D145" s="3172"/>
      <c r="E145" s="3172"/>
      <c r="F145" s="3172"/>
      <c r="G145" s="3172"/>
      <c r="H145" s="3172"/>
      <c r="I145" s="3172"/>
      <c r="J145" s="3172"/>
      <c r="K145" s="3172"/>
      <c r="L145" s="3172"/>
      <c r="M145" s="3172"/>
      <c r="N145" s="3172"/>
      <c r="O145" s="3172"/>
      <c r="P145" s="3172"/>
      <c r="Q145" s="3172"/>
      <c r="R145" s="3172"/>
      <c r="S145" s="3172"/>
      <c r="T145" s="3172"/>
      <c r="U145" s="3172"/>
      <c r="V145" s="3172"/>
      <c r="W145" s="3172"/>
      <c r="X145" s="3172"/>
      <c r="Y145" s="3172"/>
      <c r="Z145" s="3172"/>
      <c r="AA145" s="3172"/>
      <c r="AB145" s="3172"/>
      <c r="AC145" s="3172"/>
      <c r="AD145" s="3172"/>
      <c r="AE145" s="3172"/>
      <c r="AF145" s="3172"/>
      <c r="AG145" s="3172"/>
      <c r="AH145" s="3172"/>
      <c r="AI145" s="3172"/>
    </row>
    <row r="146" spans="1:35" s="3172" customFormat="1" ht="21.75" customHeight="1"/>
    <row r="147" spans="1:35" s="3172" customFormat="1" ht="21.75" customHeight="1"/>
    <row r="148" spans="1:35" s="3172" customFormat="1" ht="21.75" customHeight="1"/>
    <row r="149" spans="1:35" s="3172" customFormat="1" ht="21.75" customHeight="1"/>
    <row r="150" spans="1:35" s="3172" customFormat="1" ht="21.75" customHeight="1"/>
    <row r="151" spans="1:35" s="3172" customFormat="1" ht="21.75" customHeight="1"/>
    <row r="152" spans="1:35" s="3172" customFormat="1" ht="21.75" customHeight="1"/>
    <row r="153" spans="1:35" s="3172" customFormat="1" ht="21.75" customHeight="1"/>
    <row r="154" spans="1:35" s="3172" customFormat="1" ht="21.75" customHeight="1"/>
    <row r="155" spans="1:35" s="3172" customFormat="1" ht="21.75" customHeight="1"/>
    <row r="156" spans="1:35" s="3172" customFormat="1" ht="21.75" customHeight="1"/>
    <row r="157" spans="1:35" s="3172" customFormat="1" ht="21.75" customHeight="1"/>
    <row r="158" spans="1:35" s="3172" customFormat="1" ht="21.75" customHeight="1"/>
    <row r="159" spans="1:35" s="3172" customFormat="1" ht="21.75" customHeight="1"/>
    <row r="160" spans="1:35" s="3172" customFormat="1" ht="21.75" customHeight="1"/>
    <row r="161" s="3172" customFormat="1" ht="21.75" customHeight="1"/>
    <row r="162" s="3172" customFormat="1" ht="21.75" customHeight="1"/>
    <row r="163" s="3172" customFormat="1" ht="21.75" customHeight="1"/>
    <row r="164" s="3172" customFormat="1" ht="21.75" customHeight="1"/>
    <row r="165" s="3172" customFormat="1" ht="21.75" customHeight="1"/>
    <row r="166" s="3172" customFormat="1" ht="21.75" customHeight="1"/>
    <row r="167" s="3172" customFormat="1" ht="21.75" customHeight="1"/>
    <row r="168" s="3172" customFormat="1" ht="21.75" customHeight="1"/>
    <row r="169" s="3172" customFormat="1" ht="21.75" customHeight="1"/>
    <row r="170" s="3172" customFormat="1" ht="21.75" customHeight="1"/>
    <row r="171" s="3172" customFormat="1" ht="21.75" customHeight="1"/>
    <row r="172" s="3172" customFormat="1" ht="21.75" customHeight="1"/>
    <row r="173" s="3172" customFormat="1" ht="21.75" customHeight="1"/>
    <row r="174" s="3172" customFormat="1" ht="21.75" customHeight="1"/>
    <row r="175" s="3172" customFormat="1" ht="21.75" customHeight="1"/>
    <row r="176" s="3172" customFormat="1" ht="21.75" customHeight="1"/>
    <row r="177" s="3172" customFormat="1" ht="21.75" customHeight="1"/>
    <row r="178" s="3172" customFormat="1" ht="21.75" customHeight="1"/>
    <row r="179" s="3172" customFormat="1" ht="21.75" customHeight="1"/>
    <row r="180" s="3172" customFormat="1" ht="21.75" customHeight="1"/>
    <row r="181" s="3172" customFormat="1" ht="21.75" customHeight="1"/>
    <row r="182" s="3172" customFormat="1" ht="21.75" customHeight="1"/>
    <row r="183" s="3172" customFormat="1" ht="21.75" customHeight="1"/>
    <row r="184" s="3172" customFormat="1" ht="21.75" customHeight="1"/>
    <row r="185" s="3172" customFormat="1" ht="21.75" customHeight="1"/>
    <row r="186" s="3172" customFormat="1" ht="21.75" customHeight="1"/>
    <row r="187" s="3172" customFormat="1" ht="21.75" customHeight="1"/>
    <row r="188" s="3172" customFormat="1" ht="21.75" customHeight="1"/>
    <row r="189" s="3172" customFormat="1" ht="21.75" customHeight="1"/>
    <row r="190" s="3172" customFormat="1" ht="21.75" customHeight="1"/>
    <row r="191" s="3172" customFormat="1" ht="21.75" customHeight="1"/>
    <row r="192" s="3172" customFormat="1" ht="21.75" customHeight="1"/>
    <row r="193" s="3172" customFormat="1" ht="21.75" customHeight="1"/>
    <row r="194" s="3172" customFormat="1" ht="21.75" customHeight="1"/>
    <row r="195" s="3172" customFormat="1" ht="21.75" customHeight="1"/>
    <row r="196" s="3172" customFormat="1" ht="21.75" customHeight="1"/>
    <row r="197" s="3172" customFormat="1" ht="21.75" customHeight="1"/>
    <row r="198" s="3172" customFormat="1" ht="21.75" customHeight="1"/>
    <row r="199" s="3172" customFormat="1" ht="21.75" customHeight="1"/>
    <row r="200" s="3172" customFormat="1" ht="21.75" customHeight="1"/>
    <row r="201" s="3172" customFormat="1" ht="21.75" customHeight="1"/>
    <row r="202" s="3172" customFormat="1" ht="21.75" customHeight="1"/>
    <row r="203" s="3172" customFormat="1" ht="21.75" customHeight="1"/>
    <row r="204" s="3172" customFormat="1" ht="21.75" customHeight="1"/>
    <row r="205" s="3172" customFormat="1" ht="21.75" customHeight="1"/>
    <row r="206" s="3172" customFormat="1" ht="21.75" customHeight="1"/>
    <row r="207" s="3172" customFormat="1" ht="21.75" customHeight="1"/>
    <row r="208" s="3172" customFormat="1" ht="21.75" customHeight="1"/>
    <row r="209" s="3172" customFormat="1" ht="21.75" customHeight="1"/>
    <row r="210" s="3172" customFormat="1" ht="21.75" customHeight="1"/>
    <row r="211" s="3172" customFormat="1" ht="21.75" customHeight="1"/>
    <row r="212" s="3172" customFormat="1" ht="21.75" customHeight="1"/>
    <row r="213" s="3172" customFormat="1" ht="21.75" customHeight="1"/>
    <row r="214" s="3172" customFormat="1" ht="21.75" customHeight="1"/>
    <row r="215" s="3172" customFormat="1" ht="21.75" customHeight="1"/>
    <row r="216" s="3172" customFormat="1" ht="21.75" customHeight="1"/>
    <row r="217" s="3172" customFormat="1" ht="21.75" customHeight="1"/>
    <row r="218" s="3172" customFormat="1" ht="21.75" customHeight="1"/>
    <row r="219" s="3172" customFormat="1" ht="21.75" customHeight="1"/>
    <row r="220" s="3172" customFormat="1" ht="21.75" customHeight="1"/>
    <row r="221" s="3172" customFormat="1" ht="21.75" customHeight="1"/>
    <row r="222" s="3172" customFormat="1" ht="21.75" customHeight="1"/>
    <row r="223" s="3172" customFormat="1" ht="21.75" customHeight="1"/>
    <row r="224" s="3172" customFormat="1" ht="21.75" customHeight="1"/>
    <row r="225" s="3172" customFormat="1" ht="21.75" customHeight="1"/>
    <row r="226" s="3172" customFormat="1" ht="21.75" customHeight="1"/>
    <row r="227" s="3172" customFormat="1" ht="21.75" customHeight="1"/>
    <row r="228" s="3172" customFormat="1" ht="21.75" customHeight="1"/>
    <row r="229" s="3172" customFormat="1" ht="21.75" customHeight="1"/>
    <row r="230" s="3172" customFormat="1" ht="21.75" customHeight="1"/>
    <row r="231" s="3172" customFormat="1" ht="21.75" customHeight="1"/>
    <row r="232" s="3172" customFormat="1" ht="21.75" customHeight="1"/>
    <row r="233" s="3172" customFormat="1" ht="21.75" customHeight="1"/>
    <row r="234" s="3172" customFormat="1" ht="21.75" customHeight="1"/>
    <row r="235" s="3172" customFormat="1" ht="21.75" customHeight="1"/>
    <row r="236" s="3172" customFormat="1" ht="21.75" customHeight="1"/>
    <row r="237" s="3172" customFormat="1" ht="21.75" customHeight="1"/>
    <row r="238" s="3172" customFormat="1" ht="21.75" customHeight="1"/>
    <row r="239" s="3172" customFormat="1" ht="21.75" customHeight="1"/>
    <row r="240" s="3172" customFormat="1" ht="21.75" customHeight="1"/>
    <row r="241" s="3172" customFormat="1" ht="21.75" customHeight="1"/>
    <row r="242" s="3172" customFormat="1" ht="21.75" customHeight="1"/>
    <row r="243" s="3172" customFormat="1" ht="21.75" customHeight="1"/>
    <row r="244" s="3172" customFormat="1" ht="21.75" customHeight="1"/>
    <row r="245" s="3172" customFormat="1" ht="21.75" customHeight="1"/>
    <row r="246" s="3172" customFormat="1" ht="21.75" customHeight="1"/>
    <row r="247" s="3172" customFormat="1" ht="21.75" customHeight="1"/>
    <row r="248" s="3172" customFormat="1" ht="21.75" customHeight="1"/>
    <row r="249" s="3172" customFormat="1" ht="21.75" customHeight="1"/>
    <row r="250" s="3172" customFormat="1" ht="21.75" customHeight="1"/>
    <row r="251" s="3172" customFormat="1" ht="21.75" customHeight="1"/>
    <row r="252" s="3172" customFormat="1" ht="21.75" customHeight="1"/>
    <row r="253" s="3172" customFormat="1" ht="21.75" customHeight="1"/>
    <row r="254" s="3172" customFormat="1" ht="21.75" customHeight="1"/>
    <row r="255" s="3172" customFormat="1" ht="21.75" customHeight="1"/>
    <row r="256" s="3172" customFormat="1" ht="21.75" customHeight="1"/>
    <row r="257" s="3172" customFormat="1" ht="21.75" customHeight="1"/>
    <row r="258" s="3172" customFormat="1" ht="21.75" customHeight="1"/>
    <row r="259" s="3172" customFormat="1" ht="21.75" customHeight="1"/>
    <row r="260" s="3172" customFormat="1" ht="21.75" customHeight="1"/>
    <row r="261" s="3172" customFormat="1" ht="21.75" customHeight="1"/>
    <row r="262" s="3172" customFormat="1" ht="21.75" customHeight="1"/>
    <row r="263" s="3172" customFormat="1" ht="21.75" customHeight="1"/>
    <row r="264" s="3172" customFormat="1" ht="21.75" customHeight="1"/>
    <row r="265" s="3172" customFormat="1" ht="21.75" customHeight="1"/>
    <row r="266" s="3172" customFormat="1" ht="21.75" customHeight="1"/>
    <row r="267" s="3172" customFormat="1" ht="21.75" customHeight="1"/>
    <row r="268" s="3172" customFormat="1" ht="21.75" customHeight="1"/>
    <row r="269" s="3172" customFormat="1" ht="21.75" customHeight="1"/>
    <row r="270" s="3172" customFormat="1" ht="21.75" customHeight="1"/>
    <row r="271" s="3172" customFormat="1" ht="21.75" customHeight="1"/>
    <row r="272" s="3172" customFormat="1" ht="21.75" customHeight="1"/>
    <row r="273" s="3172" customFormat="1" ht="21.75" customHeight="1"/>
    <row r="274" s="3172" customFormat="1" ht="21.75" customHeight="1"/>
    <row r="275" s="3172" customFormat="1" ht="21.75" customHeight="1"/>
    <row r="276" s="3172" customFormat="1" ht="21.75" customHeight="1"/>
    <row r="277" s="3172" customFormat="1" ht="21.75" customHeight="1"/>
    <row r="278" s="3172" customFormat="1" ht="21.75" customHeight="1"/>
    <row r="279" s="3172" customFormat="1" ht="21.75" customHeight="1"/>
    <row r="280" s="3172" customFormat="1" ht="21.75" customHeight="1"/>
    <row r="281" s="3172" customFormat="1" ht="21.75" customHeight="1"/>
    <row r="282" s="3172" customFormat="1" ht="21.75" customHeight="1"/>
    <row r="283" s="3172" customFormat="1" ht="21.75" customHeight="1"/>
    <row r="284" s="3172" customFormat="1" ht="21.75" customHeight="1"/>
    <row r="285" s="3172" customFormat="1" ht="21.75" customHeight="1"/>
    <row r="286" s="3172" customFormat="1" ht="21.75" customHeight="1"/>
    <row r="287" s="3172" customFormat="1" ht="21.75" customHeight="1"/>
    <row r="288" s="3172" customFormat="1" ht="21.75" customHeight="1"/>
    <row r="289" s="3172" customFormat="1" ht="21.75" customHeight="1"/>
    <row r="290" s="3172" customFormat="1" ht="21.75" customHeight="1"/>
    <row r="291" s="3172" customFormat="1" ht="21.75" customHeight="1"/>
    <row r="292" s="3172" customFormat="1" ht="21.75" customHeight="1"/>
    <row r="293" s="3172" customFormat="1" ht="21.75" customHeight="1"/>
    <row r="294" s="3172" customFormat="1" ht="21.75" customHeight="1"/>
    <row r="295" s="3172" customFormat="1" ht="21.75" customHeight="1"/>
    <row r="296" s="3172" customFormat="1" ht="21.75" customHeight="1"/>
    <row r="297" s="3172" customFormat="1" ht="21.75" customHeight="1"/>
    <row r="298" s="3172" customFormat="1" ht="21.75" customHeight="1"/>
    <row r="299" s="3172" customFormat="1" ht="21.75" customHeight="1"/>
    <row r="300" s="3172" customFormat="1" ht="21.75" customHeight="1"/>
    <row r="301" s="3172" customFormat="1" ht="21.75" customHeight="1"/>
    <row r="302" s="3172" customFormat="1" ht="21.75" customHeight="1"/>
    <row r="303" s="3172" customFormat="1" ht="21.75" customHeight="1"/>
    <row r="304" s="3172" customFormat="1" ht="21.75" customHeight="1"/>
    <row r="305" s="3172" customFormat="1" ht="21.75" customHeight="1"/>
    <row r="306" s="3172" customFormat="1" ht="21.75" customHeight="1"/>
    <row r="307" s="3172" customFormat="1" ht="21.75" customHeight="1"/>
    <row r="308" s="3172" customFormat="1" ht="21.75" customHeight="1"/>
    <row r="309" s="3172" customFormat="1" ht="21.75" customHeight="1"/>
    <row r="310" s="3172" customFormat="1" ht="21.75" customHeight="1"/>
    <row r="311" s="3172" customFormat="1" ht="21.75" customHeight="1"/>
    <row r="312" s="3172" customFormat="1" ht="21.75" customHeight="1"/>
    <row r="313" s="3172" customFormat="1" ht="21.75" customHeight="1"/>
    <row r="314" s="3172" customFormat="1" ht="21.75" customHeight="1"/>
    <row r="315" s="3172" customFormat="1" ht="21.75" customHeight="1"/>
    <row r="316" s="3172" customFormat="1" ht="21.75" customHeight="1"/>
    <row r="317" s="3172" customFormat="1" ht="21.75" customHeight="1"/>
    <row r="318" s="3172" customFormat="1" ht="21.75" customHeight="1"/>
    <row r="319" s="3172" customFormat="1" ht="21.75" customHeight="1"/>
    <row r="320" s="3172" customFormat="1" ht="21.75" customHeight="1"/>
    <row r="321" s="3172" customFormat="1" ht="21.75" customHeight="1"/>
    <row r="322" s="3172" customFormat="1" ht="21.75" customHeight="1"/>
    <row r="323" s="3172" customFormat="1" ht="21.75" customHeight="1"/>
    <row r="324" s="3172" customFormat="1" ht="21.75" customHeight="1"/>
    <row r="325" s="3172" customFormat="1" ht="21.75" customHeight="1"/>
    <row r="326" s="3172" customFormat="1" ht="21.75" customHeight="1"/>
    <row r="327" s="3172" customFormat="1" ht="21.75" customHeight="1"/>
    <row r="328" s="3172" customFormat="1" ht="21.75" customHeight="1"/>
    <row r="329" s="3172" customFormat="1" ht="21.75" customHeight="1"/>
    <row r="330" s="3172" customFormat="1" ht="21.75" customHeight="1"/>
    <row r="331" s="3172" customFormat="1" ht="21.75" customHeight="1"/>
    <row r="332" s="3172" customFormat="1" ht="21.75" customHeight="1"/>
    <row r="333" s="3172" customFormat="1" ht="21.75" customHeight="1"/>
    <row r="334" s="3172" customFormat="1" ht="21.75" customHeight="1"/>
    <row r="335" s="3172" customFormat="1" ht="21.75" customHeight="1"/>
    <row r="336" s="3172" customFormat="1" ht="21.75" customHeight="1"/>
    <row r="337" s="3172" customFormat="1" ht="21.75" customHeight="1"/>
    <row r="338" s="3172" customFormat="1" ht="21.75" customHeight="1"/>
    <row r="339" s="3172" customFormat="1" ht="21.75" customHeight="1"/>
    <row r="340" s="3172" customFormat="1" ht="21.75" customHeight="1"/>
    <row r="341" s="3172" customFormat="1" ht="21.75" customHeight="1"/>
    <row r="342" s="3172" customFormat="1" ht="21.75" customHeight="1"/>
    <row r="343" s="3172" customFormat="1" ht="21.75" customHeight="1"/>
    <row r="344" s="3172" customFormat="1" ht="21.75" customHeight="1"/>
    <row r="345" s="3172" customFormat="1" ht="21.75" customHeight="1"/>
    <row r="346" s="3172" customFormat="1" ht="21.75" customHeight="1"/>
    <row r="347" s="3172" customFormat="1" ht="21.75" customHeight="1"/>
    <row r="348" s="3172" customFormat="1" ht="21.75" customHeight="1"/>
    <row r="349" s="3172" customFormat="1" ht="21.75" customHeight="1"/>
    <row r="350" s="3172" customFormat="1" ht="21.75" customHeight="1"/>
    <row r="351" s="3172" customFormat="1" ht="21.75" customHeight="1"/>
    <row r="352" s="3172" customFormat="1" ht="21.75" customHeight="1"/>
    <row r="353" s="3172" customFormat="1" ht="21.75" customHeight="1"/>
    <row r="354" s="3172" customFormat="1" ht="21.75" customHeight="1"/>
    <row r="355" s="3172" customFormat="1" ht="21.75" customHeight="1"/>
    <row r="356" s="3172" customFormat="1" ht="21.75" customHeight="1"/>
    <row r="357" s="3172" customFormat="1" ht="21.75" customHeight="1"/>
    <row r="358" s="3172" customFormat="1" ht="21.75" customHeight="1"/>
    <row r="359" s="3172" customFormat="1" ht="21.75" customHeight="1"/>
    <row r="360" s="3172" customFormat="1" ht="21.75" customHeight="1"/>
    <row r="361" s="3172" customFormat="1" ht="21.75" customHeight="1"/>
    <row r="362" s="3172" customFormat="1" ht="21.75" customHeight="1"/>
    <row r="363" s="3172" customFormat="1" ht="21.75" customHeight="1"/>
    <row r="364" s="3172" customFormat="1" ht="21.75" customHeight="1"/>
    <row r="365" s="3172" customFormat="1" ht="21.75" customHeight="1"/>
    <row r="366" s="3172" customFormat="1" ht="21.75" customHeight="1"/>
    <row r="367" s="3172" customFormat="1" ht="21.75" customHeight="1"/>
    <row r="368" s="3172" customFormat="1" ht="21.75" customHeight="1"/>
    <row r="369" s="3172" customFormat="1" ht="21.75" customHeight="1"/>
    <row r="370" s="3172" customFormat="1" ht="21.75" customHeight="1"/>
    <row r="371" s="3172" customFormat="1" ht="21.75" customHeight="1"/>
    <row r="372" s="3172" customFormat="1" ht="21.75" customHeight="1"/>
    <row r="373" s="3172" customFormat="1" ht="21.75" customHeight="1"/>
    <row r="374" s="3172" customFormat="1" ht="21.75" customHeight="1"/>
    <row r="375" s="3172" customFormat="1" ht="21.75" customHeight="1"/>
    <row r="376" s="3172" customFormat="1" ht="21.75" customHeight="1"/>
    <row r="377" s="3172" customFormat="1" ht="21.75" customHeight="1"/>
    <row r="378" s="3172" customFormat="1" ht="21.75" customHeight="1"/>
    <row r="379" s="3172" customFormat="1" ht="21.75" customHeight="1"/>
    <row r="380" s="3172" customFormat="1" ht="21.75" customHeight="1"/>
    <row r="381" s="3172" customFormat="1" ht="21.75" customHeight="1"/>
    <row r="382" s="3172" customFormat="1" ht="21.75" customHeight="1"/>
    <row r="383" s="3172" customFormat="1" ht="21.75" customHeight="1"/>
    <row r="384" s="3172" customFormat="1" ht="21.75" customHeight="1"/>
    <row r="385" s="3172" customFormat="1" ht="21.75" customHeight="1"/>
    <row r="386" s="3172" customFormat="1" ht="21.75" customHeight="1"/>
    <row r="387" s="3172" customFormat="1" ht="21.75" customHeight="1"/>
    <row r="388" s="3172" customFormat="1" ht="21.75" customHeight="1"/>
    <row r="389" s="3172" customFormat="1" ht="21.75" customHeight="1"/>
    <row r="390" s="3172" customFormat="1" ht="21.75" customHeight="1"/>
    <row r="391" s="3172" customFormat="1" ht="21.75" customHeight="1"/>
    <row r="392" s="3172" customFormat="1" ht="21.75" customHeight="1"/>
    <row r="393" s="3172" customFormat="1" ht="21.75" customHeight="1"/>
    <row r="394" s="3172" customFormat="1" ht="21.75" customHeight="1"/>
    <row r="395" s="3172" customFormat="1" ht="21.75" customHeight="1"/>
    <row r="396" s="3172" customFormat="1" ht="21.75" customHeight="1"/>
    <row r="397" s="3172" customFormat="1" ht="21.75" customHeight="1"/>
    <row r="398" s="3172" customFormat="1" ht="21.75" customHeight="1"/>
    <row r="399" s="3172" customFormat="1" ht="21.75" customHeight="1"/>
    <row r="400" s="3172" customFormat="1" ht="21.75" customHeight="1"/>
    <row r="401" spans="10:26" s="3172" customFormat="1" ht="21.75" customHeight="1"/>
    <row r="402" spans="10:26" s="3172" customFormat="1" ht="21.75" customHeight="1"/>
    <row r="403" spans="10:26" s="3172" customFormat="1" ht="21.75" customHeight="1"/>
    <row r="404" spans="10:26" s="3172" customFormat="1" ht="21.75" customHeight="1"/>
    <row r="405" spans="10:26" s="3172" customFormat="1" ht="21.75" customHeight="1"/>
    <row r="406" spans="10:26" s="3172" customFormat="1" ht="21.75" customHeight="1"/>
    <row r="407" spans="10:26" s="3172" customFormat="1" ht="21.75" customHeight="1"/>
    <row r="408" spans="10:26" s="3172" customFormat="1" ht="21.75" customHeight="1"/>
    <row r="409" spans="10:26" s="3173" customFormat="1" ht="21.75" customHeight="1">
      <c r="J409" s="3172"/>
      <c r="K409" s="3172"/>
      <c r="L409" s="3172"/>
      <c r="M409" s="3172"/>
      <c r="N409" s="3172"/>
      <c r="O409" s="3172"/>
      <c r="P409" s="3172"/>
      <c r="Q409" s="3172"/>
      <c r="R409" s="3172"/>
      <c r="S409" s="3172"/>
      <c r="T409" s="3172"/>
      <c r="U409" s="3172"/>
      <c r="V409" s="3172"/>
      <c r="W409" s="3172"/>
      <c r="X409" s="3172"/>
      <c r="Y409" s="3172"/>
      <c r="Z409" s="3172"/>
    </row>
    <row r="410" spans="10:26" s="3173" customFormat="1" ht="21.75" customHeight="1">
      <c r="J410" s="3172"/>
      <c r="K410" s="3172"/>
      <c r="L410" s="3172"/>
      <c r="M410" s="3172"/>
      <c r="N410" s="3172"/>
      <c r="O410" s="3172"/>
      <c r="P410" s="3172"/>
      <c r="Q410" s="3172"/>
      <c r="R410" s="3172"/>
      <c r="S410" s="3172"/>
      <c r="T410" s="3172"/>
      <c r="U410" s="3172"/>
      <c r="V410" s="3172"/>
      <c r="W410" s="3172"/>
      <c r="X410" s="3172"/>
      <c r="Y410" s="3172"/>
      <c r="Z410" s="3172"/>
    </row>
    <row r="411" spans="10:26" s="3173" customFormat="1" ht="21.75" customHeight="1">
      <c r="J411" s="3172"/>
      <c r="K411" s="3172"/>
      <c r="L411" s="3172"/>
      <c r="M411" s="3172"/>
      <c r="N411" s="3172"/>
      <c r="O411" s="3172"/>
      <c r="P411" s="3172"/>
      <c r="Q411" s="3172"/>
      <c r="R411" s="3172"/>
      <c r="S411" s="3172"/>
      <c r="T411" s="3172"/>
      <c r="U411" s="3172"/>
      <c r="V411" s="3172"/>
      <c r="W411" s="3172"/>
      <c r="X411" s="3172"/>
      <c r="Y411" s="3172"/>
      <c r="Z411" s="3172"/>
    </row>
    <row r="412" spans="10:26" s="3173" customFormat="1" ht="21.75" customHeight="1">
      <c r="J412" s="3172"/>
      <c r="K412" s="3172"/>
      <c r="L412" s="3172"/>
      <c r="M412" s="3172"/>
      <c r="N412" s="3172"/>
      <c r="O412" s="3172"/>
      <c r="P412" s="3172"/>
      <c r="Q412" s="3172"/>
      <c r="R412" s="3172"/>
      <c r="S412" s="3172"/>
      <c r="T412" s="3172"/>
      <c r="U412" s="3172"/>
      <c r="V412" s="3172"/>
      <c r="W412" s="3172"/>
      <c r="X412" s="3172"/>
      <c r="Y412" s="3172"/>
      <c r="Z412" s="3172"/>
    </row>
    <row r="413" spans="10:26" s="3173" customFormat="1" ht="21.75" customHeight="1">
      <c r="J413" s="3172"/>
      <c r="K413" s="3172"/>
      <c r="L413" s="3172"/>
      <c r="M413" s="3172"/>
      <c r="N413" s="3172"/>
      <c r="O413" s="3172"/>
      <c r="P413" s="3172"/>
      <c r="Q413" s="3172"/>
      <c r="R413" s="3172"/>
      <c r="S413" s="3172"/>
      <c r="T413" s="3172"/>
      <c r="U413" s="3172"/>
      <c r="V413" s="3172"/>
      <c r="W413" s="3172"/>
      <c r="X413" s="3172"/>
      <c r="Y413" s="3172"/>
      <c r="Z413" s="3172"/>
    </row>
    <row r="414" spans="10:26" s="3173" customFormat="1" ht="21.75" customHeight="1">
      <c r="J414" s="3172"/>
      <c r="K414" s="3172"/>
      <c r="L414" s="3172"/>
      <c r="M414" s="3172"/>
      <c r="N414" s="3172"/>
      <c r="O414" s="3172"/>
      <c r="P414" s="3172"/>
      <c r="Q414" s="3172"/>
      <c r="R414" s="3172"/>
      <c r="S414" s="3172"/>
      <c r="T414" s="3172"/>
      <c r="U414" s="3172"/>
      <c r="V414" s="3172"/>
      <c r="W414" s="3172"/>
      <c r="X414" s="3172"/>
      <c r="Y414" s="3172"/>
      <c r="Z414" s="3172"/>
    </row>
    <row r="415" spans="10:26" s="3173" customFormat="1" ht="21.75" customHeight="1">
      <c r="J415" s="3172"/>
      <c r="K415" s="3172"/>
      <c r="L415" s="3172"/>
      <c r="M415" s="3172"/>
      <c r="N415" s="3172"/>
      <c r="O415" s="3172"/>
      <c r="P415" s="3172"/>
      <c r="Q415" s="3172"/>
      <c r="R415" s="3172"/>
      <c r="S415" s="3172"/>
      <c r="T415" s="3172"/>
      <c r="U415" s="3172"/>
      <c r="V415" s="3172"/>
      <c r="W415" s="3172"/>
      <c r="X415" s="3172"/>
      <c r="Y415" s="3172"/>
      <c r="Z415" s="3172"/>
    </row>
    <row r="416" spans="10:26" s="3173" customFormat="1" ht="21.75" customHeight="1">
      <c r="J416" s="3172"/>
      <c r="K416" s="3172"/>
      <c r="L416" s="3172"/>
      <c r="M416" s="3172"/>
      <c r="N416" s="3172"/>
      <c r="O416" s="3172"/>
      <c r="P416" s="3172"/>
      <c r="Q416" s="3172"/>
      <c r="R416" s="3172"/>
      <c r="S416" s="3172"/>
      <c r="T416" s="3172"/>
      <c r="U416" s="3172"/>
      <c r="V416" s="3172"/>
      <c r="W416" s="3172"/>
      <c r="X416" s="3172"/>
      <c r="Y416" s="3172"/>
      <c r="Z416" s="3172"/>
    </row>
    <row r="417" spans="10:26" s="3173" customFormat="1" ht="21.75" customHeight="1">
      <c r="J417" s="3172"/>
      <c r="K417" s="3172"/>
      <c r="L417" s="3172"/>
      <c r="M417" s="3172"/>
      <c r="N417" s="3172"/>
      <c r="O417" s="3172"/>
      <c r="P417" s="3172"/>
      <c r="Q417" s="3172"/>
      <c r="R417" s="3172"/>
      <c r="S417" s="3172"/>
      <c r="T417" s="3172"/>
      <c r="U417" s="3172"/>
      <c r="V417" s="3172"/>
      <c r="W417" s="3172"/>
      <c r="X417" s="3172"/>
      <c r="Y417" s="3172"/>
      <c r="Z417" s="3172"/>
    </row>
    <row r="418" spans="10:26" s="3173" customFormat="1" ht="21.75" customHeight="1">
      <c r="J418" s="3172"/>
      <c r="K418" s="3172"/>
      <c r="L418" s="3172"/>
      <c r="M418" s="3172"/>
      <c r="N418" s="3172"/>
      <c r="O418" s="3172"/>
      <c r="P418" s="3172"/>
      <c r="Q418" s="3172"/>
      <c r="R418" s="3172"/>
      <c r="S418" s="3172"/>
      <c r="T418" s="3172"/>
      <c r="U418" s="3172"/>
      <c r="V418" s="3172"/>
      <c r="W418" s="3172"/>
      <c r="X418" s="3172"/>
      <c r="Y418" s="3172"/>
      <c r="Z418" s="3172"/>
    </row>
    <row r="419" spans="10:26" s="3173" customFormat="1" ht="21.75" customHeight="1">
      <c r="J419" s="3172"/>
      <c r="K419" s="3172"/>
      <c r="L419" s="3172"/>
      <c r="M419" s="3172"/>
      <c r="N419" s="3172"/>
      <c r="O419" s="3172"/>
      <c r="P419" s="3172"/>
      <c r="Q419" s="3172"/>
      <c r="R419" s="3172"/>
      <c r="S419" s="3172"/>
      <c r="T419" s="3172"/>
      <c r="U419" s="3172"/>
      <c r="V419" s="3172"/>
      <c r="W419" s="3172"/>
      <c r="X419" s="3172"/>
      <c r="Y419" s="3172"/>
      <c r="Z419" s="3172"/>
    </row>
    <row r="420" spans="10:26" s="3173" customFormat="1" ht="21.75" customHeight="1">
      <c r="J420" s="3172"/>
      <c r="K420" s="3172"/>
      <c r="L420" s="3172"/>
      <c r="M420" s="3172"/>
      <c r="N420" s="3172"/>
      <c r="O420" s="3172"/>
      <c r="P420" s="3172"/>
      <c r="Q420" s="3172"/>
      <c r="R420" s="3172"/>
      <c r="S420" s="3172"/>
      <c r="T420" s="3172"/>
      <c r="U420" s="3172"/>
      <c r="V420" s="3172"/>
      <c r="W420" s="3172"/>
      <c r="X420" s="3172"/>
      <c r="Y420" s="3172"/>
      <c r="Z420" s="3172"/>
    </row>
    <row r="421" spans="10:26" s="3173" customFormat="1" ht="21.75" customHeight="1">
      <c r="J421" s="3172"/>
      <c r="K421" s="3172"/>
      <c r="L421" s="3172"/>
      <c r="M421" s="3172"/>
      <c r="N421" s="3172"/>
      <c r="O421" s="3172"/>
      <c r="P421" s="3172"/>
      <c r="Q421" s="3172"/>
      <c r="R421" s="3172"/>
      <c r="S421" s="3172"/>
      <c r="T421" s="3172"/>
      <c r="U421" s="3172"/>
      <c r="V421" s="3172"/>
      <c r="W421" s="3172"/>
      <c r="X421" s="3172"/>
      <c r="Y421" s="3172"/>
      <c r="Z421" s="3172"/>
    </row>
    <row r="422" spans="10:26" s="3173" customFormat="1" ht="21.75" customHeight="1">
      <c r="J422" s="3172"/>
      <c r="K422" s="3172"/>
      <c r="L422" s="3172"/>
      <c r="M422" s="3172"/>
      <c r="N422" s="3172"/>
      <c r="O422" s="3172"/>
      <c r="P422" s="3172"/>
      <c r="Q422" s="3172"/>
      <c r="R422" s="3172"/>
      <c r="S422" s="3172"/>
      <c r="T422" s="3172"/>
      <c r="U422" s="3172"/>
      <c r="V422" s="3172"/>
      <c r="W422" s="3172"/>
      <c r="X422" s="3172"/>
      <c r="Y422" s="3172"/>
      <c r="Z422" s="3172"/>
    </row>
    <row r="423" spans="10:26" s="3173" customFormat="1" ht="21.75" customHeight="1">
      <c r="J423" s="3172"/>
      <c r="K423" s="3172"/>
      <c r="L423" s="3172"/>
      <c r="M423" s="3172"/>
      <c r="N423" s="3172"/>
      <c r="O423" s="3172"/>
      <c r="P423" s="3172"/>
      <c r="Q423" s="3172"/>
      <c r="R423" s="3172"/>
      <c r="S423" s="3172"/>
      <c r="T423" s="3172"/>
      <c r="U423" s="3172"/>
      <c r="V423" s="3172"/>
      <c r="W423" s="3172"/>
      <c r="X423" s="3172"/>
      <c r="Y423" s="3172"/>
      <c r="Z423" s="3172"/>
    </row>
    <row r="424" spans="10:26" s="3173" customFormat="1" ht="21.75" customHeight="1">
      <c r="J424" s="3172"/>
      <c r="K424" s="3172"/>
      <c r="L424" s="3172"/>
      <c r="M424" s="3172"/>
      <c r="N424" s="3172"/>
      <c r="O424" s="3172"/>
      <c r="P424" s="3172"/>
      <c r="Q424" s="3172"/>
      <c r="R424" s="3172"/>
      <c r="S424" s="3172"/>
      <c r="T424" s="3172"/>
      <c r="U424" s="3172"/>
      <c r="V424" s="3172"/>
      <c r="W424" s="3172"/>
      <c r="X424" s="3172"/>
      <c r="Y424" s="3172"/>
      <c r="Z424" s="3172"/>
    </row>
    <row r="425" spans="10:26" s="3173" customFormat="1" ht="21.75" customHeight="1">
      <c r="J425" s="3172"/>
      <c r="K425" s="3172"/>
      <c r="L425" s="3172"/>
      <c r="M425" s="3172"/>
      <c r="N425" s="3172"/>
      <c r="O425" s="3172"/>
      <c r="P425" s="3172"/>
      <c r="Q425" s="3172"/>
      <c r="R425" s="3172"/>
      <c r="S425" s="3172"/>
      <c r="T425" s="3172"/>
      <c r="U425" s="3172"/>
      <c r="V425" s="3172"/>
      <c r="W425" s="3172"/>
      <c r="X425" s="3172"/>
      <c r="Y425" s="3172"/>
      <c r="Z425" s="3172"/>
    </row>
    <row r="426" spans="10:26" s="3173" customFormat="1" ht="21.75" customHeight="1">
      <c r="J426" s="3172"/>
      <c r="K426" s="3172"/>
      <c r="L426" s="3172"/>
      <c r="M426" s="3172"/>
      <c r="N426" s="3172"/>
      <c r="O426" s="3172"/>
      <c r="P426" s="3172"/>
      <c r="Q426" s="3172"/>
      <c r="R426" s="3172"/>
      <c r="S426" s="3172"/>
      <c r="T426" s="3172"/>
      <c r="U426" s="3172"/>
      <c r="V426" s="3172"/>
      <c r="W426" s="3172"/>
      <c r="X426" s="3172"/>
      <c r="Y426" s="3172"/>
      <c r="Z426" s="3172"/>
    </row>
    <row r="427" spans="10:26" s="3173" customFormat="1" ht="21.75" customHeight="1">
      <c r="J427" s="3172"/>
      <c r="K427" s="3172"/>
      <c r="L427" s="3172"/>
      <c r="M427" s="3172"/>
      <c r="N427" s="3172"/>
      <c r="O427" s="3172"/>
      <c r="P427" s="3172"/>
      <c r="Q427" s="3172"/>
      <c r="R427" s="3172"/>
      <c r="S427" s="3172"/>
      <c r="T427" s="3172"/>
      <c r="U427" s="3172"/>
      <c r="V427" s="3172"/>
      <c r="W427" s="3172"/>
      <c r="X427" s="3172"/>
      <c r="Y427" s="3172"/>
      <c r="Z427" s="3172"/>
    </row>
    <row r="428" spans="10:26" s="3173" customFormat="1" ht="21.75" customHeight="1">
      <c r="J428" s="3172"/>
      <c r="K428" s="3172"/>
      <c r="L428" s="3172"/>
      <c r="M428" s="3172"/>
      <c r="N428" s="3172"/>
      <c r="O428" s="3172"/>
      <c r="P428" s="3172"/>
      <c r="Q428" s="3172"/>
      <c r="R428" s="3172"/>
      <c r="S428" s="3172"/>
      <c r="T428" s="3172"/>
      <c r="U428" s="3172"/>
      <c r="V428" s="3172"/>
      <c r="W428" s="3172"/>
      <c r="X428" s="3172"/>
      <c r="Y428" s="3172"/>
      <c r="Z428" s="3172"/>
    </row>
    <row r="429" spans="10:26" s="3173" customFormat="1" ht="21.75" customHeight="1">
      <c r="J429" s="3172"/>
      <c r="K429" s="3172"/>
      <c r="L429" s="3172"/>
      <c r="M429" s="3172"/>
      <c r="N429" s="3172"/>
      <c r="O429" s="3172"/>
      <c r="P429" s="3172"/>
      <c r="Q429" s="3172"/>
      <c r="R429" s="3172"/>
      <c r="S429" s="3172"/>
      <c r="T429" s="3172"/>
      <c r="U429" s="3172"/>
      <c r="V429" s="3172"/>
      <c r="W429" s="3172"/>
      <c r="X429" s="3172"/>
      <c r="Y429" s="3172"/>
      <c r="Z429" s="3172"/>
    </row>
    <row r="430" spans="10:26" s="3173" customFormat="1" ht="21.75" customHeight="1">
      <c r="J430" s="3172"/>
      <c r="K430" s="3172"/>
      <c r="L430" s="3172"/>
      <c r="M430" s="3172"/>
      <c r="N430" s="3172"/>
      <c r="O430" s="3172"/>
      <c r="P430" s="3172"/>
      <c r="Q430" s="3172"/>
      <c r="R430" s="3172"/>
      <c r="S430" s="3172"/>
      <c r="T430" s="3172"/>
      <c r="U430" s="3172"/>
      <c r="V430" s="3172"/>
      <c r="W430" s="3172"/>
      <c r="X430" s="3172"/>
      <c r="Y430" s="3172"/>
      <c r="Z430" s="3172"/>
    </row>
    <row r="431" spans="10:26" s="3173" customFormat="1" ht="21.75" customHeight="1">
      <c r="J431" s="3172"/>
      <c r="K431" s="3172"/>
      <c r="L431" s="3172"/>
      <c r="M431" s="3172"/>
      <c r="N431" s="3172"/>
      <c r="O431" s="3172"/>
      <c r="P431" s="3172"/>
      <c r="Q431" s="3172"/>
      <c r="R431" s="3172"/>
      <c r="S431" s="3172"/>
      <c r="T431" s="3172"/>
      <c r="U431" s="3172"/>
      <c r="V431" s="3172"/>
      <c r="W431" s="3172"/>
      <c r="X431" s="3172"/>
      <c r="Y431" s="3172"/>
      <c r="Z431" s="3172"/>
    </row>
    <row r="432" spans="10:26" s="3173" customFormat="1" ht="21.75" customHeight="1">
      <c r="J432" s="3172"/>
      <c r="K432" s="3172"/>
      <c r="L432" s="3172"/>
      <c r="M432" s="3172"/>
      <c r="N432" s="3172"/>
      <c r="O432" s="3172"/>
      <c r="P432" s="3172"/>
      <c r="Q432" s="3172"/>
      <c r="R432" s="3172"/>
      <c r="S432" s="3172"/>
      <c r="T432" s="3172"/>
      <c r="U432" s="3172"/>
      <c r="V432" s="3172"/>
      <c r="W432" s="3172"/>
      <c r="X432" s="3172"/>
      <c r="Y432" s="3172"/>
      <c r="Z432" s="3172"/>
    </row>
    <row r="433" spans="10:26" s="3173" customFormat="1" ht="21.75" customHeight="1">
      <c r="J433" s="3172"/>
      <c r="K433" s="3172"/>
      <c r="L433" s="3172"/>
      <c r="M433" s="3172"/>
      <c r="N433" s="3172"/>
      <c r="O433" s="3172"/>
      <c r="P433" s="3172"/>
      <c r="Q433" s="3172"/>
      <c r="R433" s="3172"/>
      <c r="S433" s="3172"/>
      <c r="T433" s="3172"/>
      <c r="U433" s="3172"/>
      <c r="V433" s="3172"/>
      <c r="W433" s="3172"/>
      <c r="X433" s="3172"/>
      <c r="Y433" s="3172"/>
      <c r="Z433" s="3172"/>
    </row>
    <row r="434" spans="10:26" s="3173" customFormat="1" ht="21.75" customHeight="1">
      <c r="J434" s="3172"/>
      <c r="K434" s="3172"/>
      <c r="L434" s="3172"/>
      <c r="M434" s="3172"/>
      <c r="N434" s="3172"/>
      <c r="O434" s="3172"/>
      <c r="P434" s="3172"/>
      <c r="Q434" s="3172"/>
      <c r="R434" s="3172"/>
      <c r="S434" s="3172"/>
      <c r="T434" s="3172"/>
      <c r="U434" s="3172"/>
      <c r="V434" s="3172"/>
      <c r="W434" s="3172"/>
      <c r="X434" s="3172"/>
      <c r="Y434" s="3172"/>
      <c r="Z434" s="3172"/>
    </row>
    <row r="435" spans="10:26" s="3173" customFormat="1" ht="21.75" customHeight="1">
      <c r="J435" s="3172"/>
      <c r="K435" s="3172"/>
      <c r="L435" s="3172"/>
      <c r="M435" s="3172"/>
      <c r="N435" s="3172"/>
      <c r="O435" s="3172"/>
      <c r="P435" s="3172"/>
      <c r="Q435" s="3172"/>
      <c r="R435" s="3172"/>
      <c r="S435" s="3172"/>
      <c r="T435" s="3172"/>
      <c r="U435" s="3172"/>
      <c r="V435" s="3172"/>
      <c r="W435" s="3172"/>
      <c r="X435" s="3172"/>
      <c r="Y435" s="3172"/>
      <c r="Z435" s="3172"/>
    </row>
    <row r="436" spans="10:26" s="3173" customFormat="1" ht="21.75" customHeight="1">
      <c r="J436" s="3172"/>
      <c r="K436" s="3172"/>
      <c r="L436" s="3172"/>
      <c r="M436" s="3172"/>
      <c r="N436" s="3172"/>
      <c r="O436" s="3172"/>
      <c r="P436" s="3172"/>
      <c r="Q436" s="3172"/>
      <c r="R436" s="3172"/>
      <c r="S436" s="3172"/>
      <c r="T436" s="3172"/>
      <c r="U436" s="3172"/>
      <c r="V436" s="3172"/>
      <c r="W436" s="3172"/>
      <c r="X436" s="3172"/>
      <c r="Y436" s="3172"/>
      <c r="Z436" s="3172"/>
    </row>
    <row r="437" spans="10:26" s="3173" customFormat="1" ht="21.75" customHeight="1">
      <c r="J437" s="3172"/>
      <c r="K437" s="3172"/>
      <c r="L437" s="3172"/>
      <c r="M437" s="3172"/>
      <c r="N437" s="3172"/>
      <c r="O437" s="3172"/>
      <c r="P437" s="3172"/>
      <c r="Q437" s="3172"/>
      <c r="R437" s="3172"/>
      <c r="S437" s="3172"/>
      <c r="T437" s="3172"/>
      <c r="U437" s="3172"/>
      <c r="V437" s="3172"/>
      <c r="W437" s="3172"/>
      <c r="X437" s="3172"/>
      <c r="Y437" s="3172"/>
      <c r="Z437" s="3172"/>
    </row>
    <row r="438" spans="10:26" s="3173" customFormat="1" ht="21.75" customHeight="1">
      <c r="J438" s="3172"/>
      <c r="K438" s="3172"/>
      <c r="L438" s="3172"/>
      <c r="M438" s="3172"/>
      <c r="N438" s="3172"/>
      <c r="O438" s="3172"/>
      <c r="P438" s="3172"/>
      <c r="Q438" s="3172"/>
      <c r="R438" s="3172"/>
      <c r="S438" s="3172"/>
      <c r="T438" s="3172"/>
      <c r="U438" s="3172"/>
      <c r="V438" s="3172"/>
      <c r="W438" s="3172"/>
      <c r="X438" s="3172"/>
      <c r="Y438" s="3172"/>
      <c r="Z438" s="3172"/>
    </row>
    <row r="439" spans="10:26" s="3173" customFormat="1" ht="21.75" customHeight="1">
      <c r="J439" s="3172"/>
      <c r="K439" s="3172"/>
      <c r="L439" s="3172"/>
      <c r="M439" s="3172"/>
      <c r="N439" s="3172"/>
      <c r="O439" s="3172"/>
      <c r="P439" s="3172"/>
      <c r="Q439" s="3172"/>
      <c r="R439" s="3172"/>
      <c r="S439" s="3172"/>
      <c r="T439" s="3172"/>
      <c r="U439" s="3172"/>
      <c r="V439" s="3172"/>
      <c r="W439" s="3172"/>
      <c r="X439" s="3172"/>
      <c r="Y439" s="3172"/>
      <c r="Z439" s="3172"/>
    </row>
    <row r="440" spans="10:26" s="3173" customFormat="1" ht="21.75" customHeight="1">
      <c r="J440" s="3172"/>
      <c r="K440" s="3172"/>
      <c r="L440" s="3172"/>
      <c r="M440" s="3172"/>
      <c r="N440" s="3172"/>
      <c r="O440" s="3172"/>
      <c r="P440" s="3172"/>
      <c r="Q440" s="3172"/>
      <c r="R440" s="3172"/>
      <c r="S440" s="3172"/>
      <c r="T440" s="3172"/>
      <c r="U440" s="3172"/>
      <c r="V440" s="3172"/>
      <c r="W440" s="3172"/>
      <c r="X440" s="3172"/>
      <c r="Y440" s="3172"/>
      <c r="Z440" s="3172"/>
    </row>
    <row r="441" spans="10:26" s="3173" customFormat="1" ht="21.75" customHeight="1">
      <c r="J441" s="3172"/>
      <c r="K441" s="3172"/>
      <c r="L441" s="3172"/>
      <c r="M441" s="3172"/>
      <c r="N441" s="3172"/>
      <c r="O441" s="3172"/>
      <c r="P441" s="3172"/>
      <c r="Q441" s="3172"/>
      <c r="R441" s="3172"/>
      <c r="S441" s="3172"/>
      <c r="T441" s="3172"/>
      <c r="U441" s="3172"/>
      <c r="V441" s="3172"/>
      <c r="W441" s="3172"/>
      <c r="X441" s="3172"/>
      <c r="Y441" s="3172"/>
      <c r="Z441" s="3172"/>
    </row>
    <row r="442" spans="10:26" s="3173" customFormat="1" ht="21.75" customHeight="1">
      <c r="J442" s="3172"/>
      <c r="K442" s="3172"/>
      <c r="L442" s="3172"/>
      <c r="M442" s="3172"/>
      <c r="N442" s="3172"/>
      <c r="O442" s="3172"/>
      <c r="P442" s="3172"/>
      <c r="Q442" s="3172"/>
      <c r="R442" s="3172"/>
      <c r="S442" s="3172"/>
      <c r="T442" s="3172"/>
      <c r="U442" s="3172"/>
      <c r="V442" s="3172"/>
      <c r="W442" s="3172"/>
      <c r="X442" s="3172"/>
      <c r="Y442" s="3172"/>
      <c r="Z442" s="3172"/>
    </row>
    <row r="443" spans="10:26" s="3173" customFormat="1" ht="21.75" customHeight="1">
      <c r="J443" s="3172"/>
      <c r="K443" s="3172"/>
      <c r="L443" s="3172"/>
      <c r="M443" s="3172"/>
      <c r="N443" s="3172"/>
      <c r="O443" s="3172"/>
      <c r="P443" s="3172"/>
      <c r="Q443" s="3172"/>
      <c r="R443" s="3172"/>
      <c r="S443" s="3172"/>
      <c r="T443" s="3172"/>
      <c r="U443" s="3172"/>
      <c r="V443" s="3172"/>
      <c r="W443" s="3172"/>
      <c r="X443" s="3172"/>
      <c r="Y443" s="3172"/>
      <c r="Z443" s="3172"/>
    </row>
    <row r="444" spans="10:26" s="3173" customFormat="1" ht="21.75" customHeight="1">
      <c r="J444" s="3172"/>
      <c r="K444" s="3172"/>
      <c r="L444" s="3172"/>
      <c r="M444" s="3172"/>
      <c r="N444" s="3172"/>
      <c r="O444" s="3172"/>
      <c r="P444" s="3172"/>
      <c r="Q444" s="3172"/>
      <c r="R444" s="3172"/>
      <c r="S444" s="3172"/>
      <c r="T444" s="3172"/>
      <c r="U444" s="3172"/>
      <c r="V444" s="3172"/>
      <c r="W444" s="3172"/>
      <c r="X444" s="3172"/>
      <c r="Y444" s="3172"/>
      <c r="Z444" s="3172"/>
    </row>
    <row r="445" spans="10:26" s="3173" customFormat="1" ht="21.75" customHeight="1">
      <c r="J445" s="3172"/>
      <c r="K445" s="3172"/>
      <c r="L445" s="3172"/>
      <c r="M445" s="3172"/>
      <c r="N445" s="3172"/>
      <c r="O445" s="3172"/>
      <c r="P445" s="3172"/>
      <c r="Q445" s="3172"/>
      <c r="R445" s="3172"/>
      <c r="S445" s="3172"/>
      <c r="T445" s="3172"/>
      <c r="U445" s="3172"/>
      <c r="V445" s="3172"/>
      <c r="W445" s="3172"/>
      <c r="X445" s="3172"/>
      <c r="Y445" s="3172"/>
      <c r="Z445" s="3172"/>
    </row>
    <row r="446" spans="10:26" s="3173" customFormat="1" ht="21.75" customHeight="1">
      <c r="J446" s="3172"/>
      <c r="K446" s="3172"/>
      <c r="L446" s="3172"/>
      <c r="M446" s="3172"/>
      <c r="N446" s="3172"/>
      <c r="O446" s="3172"/>
      <c r="P446" s="3172"/>
      <c r="Q446" s="3172"/>
      <c r="R446" s="3172"/>
      <c r="S446" s="3172"/>
      <c r="T446" s="3172"/>
      <c r="U446" s="3172"/>
      <c r="V446" s="3172"/>
      <c r="W446" s="3172"/>
      <c r="X446" s="3172"/>
      <c r="Y446" s="3172"/>
      <c r="Z446" s="3172"/>
    </row>
    <row r="447" spans="10:26" s="3173" customFormat="1" ht="21.75" customHeight="1">
      <c r="J447" s="3172"/>
      <c r="K447" s="3172"/>
      <c r="L447" s="3172"/>
      <c r="M447" s="3172"/>
      <c r="N447" s="3172"/>
      <c r="O447" s="3172"/>
      <c r="P447" s="3172"/>
      <c r="Q447" s="3172"/>
      <c r="R447" s="3172"/>
      <c r="S447" s="3172"/>
      <c r="T447" s="3172"/>
      <c r="U447" s="3172"/>
      <c r="V447" s="3172"/>
      <c r="W447" s="3172"/>
      <c r="X447" s="3172"/>
      <c r="Y447" s="3172"/>
      <c r="Z447" s="3172"/>
    </row>
    <row r="448" spans="10:26" s="3173" customFormat="1" ht="21.75" customHeight="1">
      <c r="J448" s="3172"/>
      <c r="K448" s="3172"/>
      <c r="L448" s="3172"/>
      <c r="M448" s="3172"/>
      <c r="N448" s="3172"/>
      <c r="O448" s="3172"/>
      <c r="P448" s="3172"/>
      <c r="Q448" s="3172"/>
      <c r="R448" s="3172"/>
      <c r="S448" s="3172"/>
      <c r="T448" s="3172"/>
      <c r="U448" s="3172"/>
      <c r="V448" s="3172"/>
      <c r="W448" s="3172"/>
      <c r="X448" s="3172"/>
      <c r="Y448" s="3172"/>
      <c r="Z448" s="3172"/>
    </row>
    <row r="449" spans="10:26" s="3173" customFormat="1" ht="21.75" customHeight="1">
      <c r="J449" s="3172"/>
      <c r="K449" s="3172"/>
      <c r="L449" s="3172"/>
      <c r="M449" s="3172"/>
      <c r="N449" s="3172"/>
      <c r="O449" s="3172"/>
      <c r="P449" s="3172"/>
      <c r="Q449" s="3172"/>
      <c r="R449" s="3172"/>
      <c r="S449" s="3172"/>
      <c r="T449" s="3172"/>
      <c r="U449" s="3172"/>
      <c r="V449" s="3172"/>
      <c r="W449" s="3172"/>
      <c r="X449" s="3172"/>
      <c r="Y449" s="3172"/>
      <c r="Z449" s="3172"/>
    </row>
    <row r="450" spans="10:26" s="3173" customFormat="1" ht="21.75" customHeight="1">
      <c r="J450" s="3172"/>
      <c r="K450" s="3172"/>
      <c r="L450" s="3172"/>
      <c r="M450" s="3172"/>
      <c r="N450" s="3172"/>
      <c r="O450" s="3172"/>
      <c r="P450" s="3172"/>
      <c r="Q450" s="3172"/>
      <c r="R450" s="3172"/>
      <c r="S450" s="3172"/>
      <c r="T450" s="3172"/>
      <c r="U450" s="3172"/>
      <c r="V450" s="3172"/>
      <c r="W450" s="3172"/>
      <c r="X450" s="3172"/>
      <c r="Y450" s="3172"/>
      <c r="Z450" s="3172"/>
    </row>
    <row r="451" spans="10:26" s="3173" customFormat="1" ht="21.75" customHeight="1">
      <c r="J451" s="3172"/>
      <c r="K451" s="3172"/>
      <c r="L451" s="3172"/>
      <c r="M451" s="3172"/>
      <c r="N451" s="3172"/>
      <c r="O451" s="3172"/>
      <c r="P451" s="3172"/>
      <c r="Q451" s="3172"/>
      <c r="R451" s="3172"/>
      <c r="S451" s="3172"/>
      <c r="T451" s="3172"/>
      <c r="U451" s="3172"/>
      <c r="V451" s="3172"/>
      <c r="W451" s="3172"/>
      <c r="X451" s="3172"/>
      <c r="Y451" s="3172"/>
      <c r="Z451" s="3172"/>
    </row>
    <row r="452" spans="10:26" s="3173" customFormat="1" ht="21.75" customHeight="1">
      <c r="J452" s="3172"/>
      <c r="K452" s="3172"/>
      <c r="L452" s="3172"/>
      <c r="M452" s="3172"/>
      <c r="N452" s="3172"/>
      <c r="O452" s="3172"/>
      <c r="P452" s="3172"/>
      <c r="Q452" s="3172"/>
      <c r="R452" s="3172"/>
      <c r="S452" s="3172"/>
      <c r="T452" s="3172"/>
      <c r="U452" s="3172"/>
      <c r="V452" s="3172"/>
      <c r="W452" s="3172"/>
      <c r="X452" s="3172"/>
      <c r="Y452" s="3172"/>
      <c r="Z452" s="3172"/>
    </row>
    <row r="453" spans="10:26" s="3173" customFormat="1" ht="21.75" customHeight="1">
      <c r="J453" s="3172"/>
      <c r="K453" s="3172"/>
      <c r="L453" s="3172"/>
      <c r="M453" s="3172"/>
      <c r="N453" s="3172"/>
      <c r="O453" s="3172"/>
      <c r="P453" s="3172"/>
      <c r="Q453" s="3172"/>
      <c r="R453" s="3172"/>
      <c r="S453" s="3172"/>
      <c r="T453" s="3172"/>
      <c r="U453" s="3172"/>
      <c r="V453" s="3172"/>
      <c r="W453" s="3172"/>
      <c r="X453" s="3172"/>
      <c r="Y453" s="3172"/>
      <c r="Z453" s="3172"/>
    </row>
    <row r="454" spans="10:26" s="3173" customFormat="1" ht="21.75" customHeight="1">
      <c r="J454" s="3172"/>
      <c r="K454" s="3172"/>
      <c r="L454" s="3172"/>
      <c r="M454" s="3172"/>
      <c r="N454" s="3172"/>
      <c r="O454" s="3172"/>
      <c r="P454" s="3172"/>
      <c r="Q454" s="3172"/>
      <c r="R454" s="3172"/>
      <c r="S454" s="3172"/>
      <c r="T454" s="3172"/>
      <c r="U454" s="3172"/>
      <c r="V454" s="3172"/>
      <c r="W454" s="3172"/>
      <c r="X454" s="3172"/>
      <c r="Y454" s="3172"/>
      <c r="Z454" s="3172"/>
    </row>
    <row r="455" spans="10:26" s="3173" customFormat="1" ht="21.75" customHeight="1">
      <c r="J455" s="3172"/>
      <c r="K455" s="3172"/>
      <c r="L455" s="3172"/>
      <c r="M455" s="3172"/>
      <c r="N455" s="3172"/>
      <c r="O455" s="3172"/>
      <c r="P455" s="3172"/>
      <c r="Q455" s="3172"/>
      <c r="R455" s="3172"/>
      <c r="S455" s="3172"/>
      <c r="T455" s="3172"/>
      <c r="U455" s="3172"/>
      <c r="V455" s="3172"/>
      <c r="W455" s="3172"/>
      <c r="X455" s="3172"/>
      <c r="Y455" s="3172"/>
      <c r="Z455" s="3172"/>
    </row>
    <row r="456" spans="10:26" s="3173" customFormat="1" ht="21.75" customHeight="1">
      <c r="J456" s="3172"/>
      <c r="K456" s="3172"/>
      <c r="L456" s="3172"/>
      <c r="M456" s="3172"/>
      <c r="N456" s="3172"/>
      <c r="O456" s="3172"/>
      <c r="P456" s="3172"/>
      <c r="Q456" s="3172"/>
      <c r="R456" s="3172"/>
      <c r="S456" s="3172"/>
      <c r="T456" s="3172"/>
      <c r="U456" s="3172"/>
      <c r="V456" s="3172"/>
      <c r="W456" s="3172"/>
      <c r="X456" s="3172"/>
      <c r="Y456" s="3172"/>
      <c r="Z456" s="3172"/>
    </row>
    <row r="457" spans="10:26" s="3173" customFormat="1" ht="21.75" customHeight="1">
      <c r="J457" s="3172"/>
      <c r="K457" s="3172"/>
      <c r="L457" s="3172"/>
      <c r="M457" s="3172"/>
      <c r="N457" s="3172"/>
      <c r="O457" s="3172"/>
      <c r="P457" s="3172"/>
      <c r="Q457" s="3172"/>
      <c r="R457" s="3172"/>
      <c r="S457" s="3172"/>
      <c r="T457" s="3172"/>
      <c r="U457" s="3172"/>
      <c r="V457" s="3172"/>
      <c r="W457" s="3172"/>
      <c r="X457" s="3172"/>
      <c r="Y457" s="3172"/>
      <c r="Z457" s="3172"/>
    </row>
    <row r="458" spans="10:26" s="3173" customFormat="1" ht="21.75" customHeight="1">
      <c r="J458" s="3172"/>
      <c r="K458" s="3172"/>
      <c r="L458" s="3172"/>
      <c r="M458" s="3172"/>
      <c r="N458" s="3172"/>
      <c r="O458" s="3172"/>
      <c r="P458" s="3172"/>
      <c r="Q458" s="3172"/>
      <c r="R458" s="3172"/>
      <c r="S458" s="3172"/>
      <c r="T458" s="3172"/>
      <c r="U458" s="3172"/>
      <c r="V458" s="3172"/>
      <c r="W458" s="3172"/>
      <c r="X458" s="3172"/>
      <c r="Y458" s="3172"/>
      <c r="Z458" s="3172"/>
    </row>
    <row r="459" spans="10:26" s="3173" customFormat="1" ht="21.75" customHeight="1">
      <c r="J459" s="3172"/>
      <c r="K459" s="3172"/>
      <c r="L459" s="3172"/>
      <c r="M459" s="3172"/>
      <c r="N459" s="3172"/>
      <c r="O459" s="3172"/>
      <c r="P459" s="3172"/>
      <c r="Q459" s="3172"/>
      <c r="R459" s="3172"/>
      <c r="S459" s="3172"/>
      <c r="T459" s="3172"/>
      <c r="U459" s="3172"/>
      <c r="V459" s="3172"/>
      <c r="W459" s="3172"/>
      <c r="X459" s="3172"/>
      <c r="Y459" s="3172"/>
      <c r="Z459" s="3172"/>
    </row>
    <row r="460" spans="10:26" s="3173" customFormat="1" ht="21.75" customHeight="1">
      <c r="J460" s="3172"/>
      <c r="K460" s="3172"/>
      <c r="L460" s="3172"/>
      <c r="M460" s="3172"/>
      <c r="N460" s="3172"/>
      <c r="O460" s="3172"/>
      <c r="P460" s="3172"/>
      <c r="Q460" s="3172"/>
      <c r="R460" s="3172"/>
      <c r="S460" s="3172"/>
      <c r="T460" s="3172"/>
      <c r="U460" s="3172"/>
      <c r="V460" s="3172"/>
      <c r="W460" s="3172"/>
      <c r="X460" s="3172"/>
      <c r="Y460" s="3172"/>
      <c r="Z460" s="3172"/>
    </row>
    <row r="461" spans="10:26" s="3173" customFormat="1" ht="21.75" customHeight="1">
      <c r="J461" s="3172"/>
      <c r="K461" s="3172"/>
      <c r="L461" s="3172"/>
      <c r="M461" s="3172"/>
      <c r="N461" s="3172"/>
      <c r="O461" s="3172"/>
      <c r="P461" s="3172"/>
      <c r="Q461" s="3172"/>
      <c r="R461" s="3172"/>
      <c r="S461" s="3172"/>
      <c r="T461" s="3172"/>
      <c r="U461" s="3172"/>
      <c r="V461" s="3172"/>
      <c r="W461" s="3172"/>
      <c r="X461" s="3172"/>
      <c r="Y461" s="3172"/>
      <c r="Z461" s="3172"/>
    </row>
    <row r="462" spans="10:26" s="3173" customFormat="1" ht="21.75" customHeight="1">
      <c r="J462" s="3172"/>
      <c r="K462" s="3172"/>
      <c r="L462" s="3172"/>
      <c r="M462" s="3172"/>
      <c r="N462" s="3172"/>
      <c r="O462" s="3172"/>
      <c r="P462" s="3172"/>
      <c r="Q462" s="3172"/>
      <c r="R462" s="3172"/>
      <c r="S462" s="3172"/>
      <c r="T462" s="3172"/>
      <c r="U462" s="3172"/>
      <c r="V462" s="3172"/>
      <c r="W462" s="3172"/>
      <c r="X462" s="3172"/>
      <c r="Y462" s="3172"/>
      <c r="Z462" s="3172"/>
    </row>
    <row r="463" spans="10:26" s="3173" customFormat="1" ht="21.75" customHeight="1">
      <c r="J463" s="3172"/>
      <c r="K463" s="3172"/>
      <c r="L463" s="3172"/>
      <c r="M463" s="3172"/>
      <c r="N463" s="3172"/>
      <c r="O463" s="3172"/>
      <c r="P463" s="3172"/>
      <c r="Q463" s="3172"/>
      <c r="R463" s="3172"/>
      <c r="S463" s="3172"/>
      <c r="T463" s="3172"/>
      <c r="U463" s="3172"/>
      <c r="V463" s="3172"/>
      <c r="W463" s="3172"/>
      <c r="X463" s="3172"/>
      <c r="Y463" s="3172"/>
      <c r="Z463" s="3172"/>
    </row>
    <row r="464" spans="10:26" s="3173" customFormat="1" ht="21.75" customHeight="1">
      <c r="J464" s="3172"/>
      <c r="K464" s="3172"/>
      <c r="L464" s="3172"/>
      <c r="M464" s="3172"/>
      <c r="N464" s="3172"/>
      <c r="O464" s="3172"/>
      <c r="P464" s="3172"/>
      <c r="Q464" s="3172"/>
      <c r="R464" s="3172"/>
      <c r="S464" s="3172"/>
      <c r="T464" s="3172"/>
      <c r="U464" s="3172"/>
      <c r="V464" s="3172"/>
      <c r="W464" s="3172"/>
      <c r="X464" s="3172"/>
      <c r="Y464" s="3172"/>
      <c r="Z464" s="3172"/>
    </row>
    <row r="465" spans="10:26" s="3173" customFormat="1" ht="21.75" customHeight="1">
      <c r="J465" s="3172"/>
      <c r="K465" s="3172"/>
      <c r="L465" s="3172"/>
      <c r="M465" s="3172"/>
      <c r="N465" s="3172"/>
      <c r="O465" s="3172"/>
      <c r="P465" s="3172"/>
      <c r="Q465" s="3172"/>
      <c r="R465" s="3172"/>
      <c r="S465" s="3172"/>
      <c r="T465" s="3172"/>
      <c r="U465" s="3172"/>
      <c r="V465" s="3172"/>
      <c r="W465" s="3172"/>
      <c r="X465" s="3172"/>
      <c r="Y465" s="3172"/>
      <c r="Z465" s="3172"/>
    </row>
    <row r="466" spans="10:26" s="3173" customFormat="1" ht="21.75" customHeight="1">
      <c r="J466" s="3172"/>
      <c r="K466" s="3172"/>
      <c r="L466" s="3172"/>
      <c r="M466" s="3172"/>
      <c r="N466" s="3172"/>
      <c r="O466" s="3172"/>
      <c r="P466" s="3172"/>
      <c r="Q466" s="3172"/>
      <c r="R466" s="3172"/>
      <c r="S466" s="3172"/>
      <c r="T466" s="3172"/>
      <c r="U466" s="3172"/>
      <c r="V466" s="3172"/>
      <c r="W466" s="3172"/>
      <c r="X466" s="3172"/>
      <c r="Y466" s="3172"/>
      <c r="Z466" s="3172"/>
    </row>
    <row r="467" spans="10:26" s="3173" customFormat="1" ht="21.75" customHeight="1">
      <c r="J467" s="3172"/>
      <c r="K467" s="3172"/>
      <c r="L467" s="3172"/>
      <c r="M467" s="3172"/>
      <c r="N467" s="3172"/>
      <c r="O467" s="3172"/>
      <c r="P467" s="3172"/>
      <c r="Q467" s="3172"/>
      <c r="R467" s="3172"/>
      <c r="S467" s="3172"/>
      <c r="T467" s="3172"/>
      <c r="U467" s="3172"/>
      <c r="V467" s="3172"/>
      <c r="W467" s="3172"/>
      <c r="X467" s="3172"/>
      <c r="Y467" s="3172"/>
      <c r="Z467" s="3172"/>
    </row>
    <row r="468" spans="10:26" s="3173" customFormat="1" ht="21.75" customHeight="1">
      <c r="J468" s="3172"/>
      <c r="K468" s="3172"/>
      <c r="L468" s="3172"/>
      <c r="M468" s="3172"/>
      <c r="N468" s="3172"/>
      <c r="O468" s="3172"/>
      <c r="P468" s="3172"/>
      <c r="Q468" s="3172"/>
      <c r="R468" s="3172"/>
      <c r="S468" s="3172"/>
      <c r="T468" s="3172"/>
      <c r="U468" s="3172"/>
      <c r="V468" s="3172"/>
      <c r="W468" s="3172"/>
      <c r="X468" s="3172"/>
      <c r="Y468" s="3172"/>
      <c r="Z468" s="3172"/>
    </row>
    <row r="469" spans="10:26" s="3173" customFormat="1" ht="21.75" customHeight="1">
      <c r="J469" s="3172"/>
      <c r="K469" s="3172"/>
      <c r="L469" s="3172"/>
      <c r="M469" s="3172"/>
      <c r="N469" s="3172"/>
      <c r="O469" s="3172"/>
      <c r="P469" s="3172"/>
      <c r="Q469" s="3172"/>
      <c r="R469" s="3172"/>
      <c r="S469" s="3172"/>
      <c r="T469" s="3172"/>
      <c r="U469" s="3172"/>
      <c r="V469" s="3172"/>
      <c r="W469" s="3172"/>
      <c r="X469" s="3172"/>
      <c r="Y469" s="3172"/>
      <c r="Z469" s="3172"/>
    </row>
    <row r="470" spans="10:26" s="3173" customFormat="1" ht="21.75" customHeight="1">
      <c r="J470" s="3172"/>
      <c r="K470" s="3172"/>
      <c r="L470" s="3172"/>
      <c r="M470" s="3172"/>
      <c r="N470" s="3172"/>
      <c r="O470" s="3172"/>
      <c r="P470" s="3172"/>
      <c r="Q470" s="3172"/>
      <c r="R470" s="3172"/>
      <c r="S470" s="3172"/>
      <c r="T470" s="3172"/>
      <c r="U470" s="3172"/>
      <c r="V470" s="3172"/>
      <c r="W470" s="3172"/>
      <c r="X470" s="3172"/>
      <c r="Y470" s="3172"/>
      <c r="Z470" s="3172"/>
    </row>
    <row r="471" spans="10:26" s="3173" customFormat="1" ht="21.75" customHeight="1">
      <c r="J471" s="3172"/>
      <c r="K471" s="3172"/>
      <c r="L471" s="3172"/>
      <c r="M471" s="3172"/>
      <c r="N471" s="3172"/>
      <c r="O471" s="3172"/>
      <c r="P471" s="3172"/>
      <c r="Q471" s="3172"/>
      <c r="R471" s="3172"/>
      <c r="S471" s="3172"/>
      <c r="T471" s="3172"/>
      <c r="U471" s="3172"/>
      <c r="V471" s="3172"/>
      <c r="W471" s="3172"/>
      <c r="X471" s="3172"/>
      <c r="Y471" s="3172"/>
      <c r="Z471" s="3172"/>
    </row>
    <row r="472" spans="10:26" s="3173" customFormat="1" ht="21.75" customHeight="1">
      <c r="J472" s="3172"/>
      <c r="K472" s="3172"/>
      <c r="L472" s="3172"/>
      <c r="M472" s="3172"/>
      <c r="N472" s="3172"/>
      <c r="O472" s="3172"/>
      <c r="P472" s="3172"/>
      <c r="Q472" s="3172"/>
      <c r="R472" s="3172"/>
      <c r="S472" s="3172"/>
      <c r="T472" s="3172"/>
      <c r="U472" s="3172"/>
      <c r="V472" s="3172"/>
      <c r="W472" s="3172"/>
      <c r="X472" s="3172"/>
      <c r="Y472" s="3172"/>
      <c r="Z472" s="3172"/>
    </row>
    <row r="473" spans="10:26" s="3173" customFormat="1" ht="21.75" customHeight="1">
      <c r="J473" s="3172"/>
      <c r="K473" s="3172"/>
      <c r="L473" s="3172"/>
      <c r="M473" s="3172"/>
      <c r="N473" s="3172"/>
      <c r="O473" s="3172"/>
      <c r="P473" s="3172"/>
      <c r="Q473" s="3172"/>
      <c r="R473" s="3172"/>
      <c r="S473" s="3172"/>
      <c r="T473" s="3172"/>
      <c r="U473" s="3172"/>
      <c r="V473" s="3172"/>
      <c r="W473" s="3172"/>
      <c r="X473" s="3172"/>
      <c r="Y473" s="3172"/>
      <c r="Z473" s="3172"/>
    </row>
    <row r="474" spans="10:26" s="3173" customFormat="1" ht="21.75" customHeight="1">
      <c r="J474" s="3172"/>
      <c r="K474" s="3172"/>
      <c r="L474" s="3172"/>
      <c r="M474" s="3172"/>
      <c r="N474" s="3172"/>
      <c r="O474" s="3172"/>
      <c r="P474" s="3172"/>
      <c r="Q474" s="3172"/>
      <c r="R474" s="3172"/>
      <c r="S474" s="3172"/>
      <c r="T474" s="3172"/>
      <c r="U474" s="3172"/>
      <c r="V474" s="3172"/>
      <c r="W474" s="3172"/>
      <c r="X474" s="3172"/>
      <c r="Y474" s="3172"/>
      <c r="Z474" s="3172"/>
    </row>
    <row r="475" spans="10:26" s="3173" customFormat="1" ht="21.75" customHeight="1">
      <c r="J475" s="3172"/>
      <c r="K475" s="3172"/>
      <c r="L475" s="3172"/>
      <c r="M475" s="3172"/>
      <c r="N475" s="3172"/>
      <c r="O475" s="3172"/>
      <c r="P475" s="3172"/>
      <c r="Q475" s="3172"/>
      <c r="R475" s="3172"/>
      <c r="S475" s="3172"/>
      <c r="T475" s="3172"/>
      <c r="U475" s="3172"/>
      <c r="V475" s="3172"/>
      <c r="W475" s="3172"/>
      <c r="X475" s="3172"/>
      <c r="Y475" s="3172"/>
      <c r="Z475" s="3172"/>
    </row>
    <row r="476" spans="10:26" s="3173" customFormat="1" ht="21.75" customHeight="1">
      <c r="J476" s="3172"/>
      <c r="K476" s="3172"/>
      <c r="L476" s="3172"/>
      <c r="M476" s="3172"/>
      <c r="N476" s="3172"/>
      <c r="O476" s="3172"/>
      <c r="P476" s="3172"/>
      <c r="Q476" s="3172"/>
      <c r="R476" s="3172"/>
      <c r="S476" s="3172"/>
      <c r="T476" s="3172"/>
      <c r="U476" s="3172"/>
      <c r="V476" s="3172"/>
      <c r="W476" s="3172"/>
      <c r="X476" s="3172"/>
      <c r="Y476" s="3172"/>
      <c r="Z476" s="3172"/>
    </row>
    <row r="477" spans="10:26" s="3173" customFormat="1" ht="21.75" customHeight="1">
      <c r="J477" s="3172"/>
      <c r="K477" s="3172"/>
      <c r="L477" s="3172"/>
      <c r="M477" s="3172"/>
      <c r="N477" s="3172"/>
      <c r="O477" s="3172"/>
      <c r="P477" s="3172"/>
      <c r="Q477" s="3172"/>
      <c r="R477" s="3172"/>
      <c r="S477" s="3172"/>
      <c r="T477" s="3172"/>
      <c r="U477" s="3172"/>
      <c r="V477" s="3172"/>
      <c r="W477" s="3172"/>
      <c r="X477" s="3172"/>
      <c r="Y477" s="3172"/>
      <c r="Z477" s="3172"/>
    </row>
    <row r="478" spans="10:26" s="3173" customFormat="1" ht="21.75" customHeight="1">
      <c r="J478" s="3172"/>
      <c r="K478" s="3172"/>
      <c r="L478" s="3172"/>
      <c r="M478" s="3172"/>
      <c r="N478" s="3172"/>
      <c r="O478" s="3172"/>
      <c r="P478" s="3172"/>
      <c r="Q478" s="3172"/>
      <c r="R478" s="3172"/>
      <c r="S478" s="3172"/>
      <c r="T478" s="3172"/>
      <c r="U478" s="3172"/>
      <c r="V478" s="3172"/>
      <c r="W478" s="3172"/>
      <c r="X478" s="3172"/>
      <c r="Y478" s="3172"/>
      <c r="Z478" s="3172"/>
    </row>
    <row r="479" spans="10:26" s="3173" customFormat="1" ht="21.75" customHeight="1">
      <c r="J479" s="3172"/>
      <c r="K479" s="3172"/>
      <c r="L479" s="3172"/>
      <c r="M479" s="3172"/>
      <c r="N479" s="3172"/>
      <c r="O479" s="3172"/>
      <c r="P479" s="3172"/>
      <c r="Q479" s="3172"/>
      <c r="R479" s="3172"/>
      <c r="S479" s="3172"/>
      <c r="T479" s="3172"/>
      <c r="U479" s="3172"/>
      <c r="V479" s="3172"/>
      <c r="W479" s="3172"/>
      <c r="X479" s="3172"/>
      <c r="Y479" s="3172"/>
      <c r="Z479" s="3172"/>
    </row>
    <row r="480" spans="10:26" s="3173" customFormat="1" ht="21.75" customHeight="1">
      <c r="J480" s="3172"/>
      <c r="K480" s="3172"/>
      <c r="L480" s="3172"/>
      <c r="M480" s="3172"/>
      <c r="N480" s="3172"/>
      <c r="O480" s="3172"/>
      <c r="P480" s="3172"/>
      <c r="Q480" s="3172"/>
      <c r="R480" s="3172"/>
      <c r="S480" s="3172"/>
      <c r="T480" s="3172"/>
      <c r="U480" s="3172"/>
      <c r="V480" s="3172"/>
      <c r="W480" s="3172"/>
      <c r="X480" s="3172"/>
      <c r="Y480" s="3172"/>
      <c r="Z480" s="3172"/>
    </row>
    <row r="481" spans="10:26" s="3173" customFormat="1" ht="21.75" customHeight="1">
      <c r="J481" s="3172"/>
      <c r="K481" s="3172"/>
      <c r="L481" s="3172"/>
      <c r="M481" s="3172"/>
      <c r="N481" s="3172"/>
      <c r="O481" s="3172"/>
      <c r="P481" s="3172"/>
      <c r="Q481" s="3172"/>
      <c r="R481" s="3172"/>
      <c r="S481" s="3172"/>
      <c r="T481" s="3172"/>
      <c r="U481" s="3172"/>
      <c r="V481" s="3172"/>
      <c r="W481" s="3172"/>
      <c r="X481" s="3172"/>
      <c r="Y481" s="3172"/>
      <c r="Z481" s="3172"/>
    </row>
    <row r="482" spans="10:26" s="3173" customFormat="1" ht="21.75" customHeight="1">
      <c r="J482" s="3172"/>
      <c r="K482" s="3172"/>
      <c r="L482" s="3172"/>
      <c r="M482" s="3172"/>
      <c r="N482" s="3172"/>
      <c r="O482" s="3172"/>
      <c r="P482" s="3172"/>
      <c r="Q482" s="3172"/>
      <c r="R482" s="3172"/>
      <c r="S482" s="3172"/>
      <c r="T482" s="3172"/>
      <c r="U482" s="3172"/>
      <c r="V482" s="3172"/>
      <c r="W482" s="3172"/>
      <c r="X482" s="3172"/>
      <c r="Y482" s="3172"/>
      <c r="Z482" s="3172"/>
    </row>
    <row r="483" spans="10:26" s="3173" customFormat="1" ht="21.75" customHeight="1">
      <c r="J483" s="3172"/>
      <c r="K483" s="3172"/>
      <c r="L483" s="3172"/>
      <c r="M483" s="3172"/>
      <c r="N483" s="3172"/>
      <c r="O483" s="3172"/>
      <c r="P483" s="3172"/>
      <c r="Q483" s="3172"/>
      <c r="R483" s="3172"/>
      <c r="S483" s="3172"/>
      <c r="T483" s="3172"/>
      <c r="U483" s="3172"/>
      <c r="V483" s="3172"/>
      <c r="W483" s="3172"/>
      <c r="X483" s="3172"/>
      <c r="Y483" s="3172"/>
      <c r="Z483" s="3172"/>
    </row>
    <row r="484" spans="10:26" s="3173" customFormat="1" ht="21.75" customHeight="1">
      <c r="J484" s="3172"/>
      <c r="K484" s="3172"/>
      <c r="L484" s="3172"/>
      <c r="M484" s="3172"/>
      <c r="N484" s="3172"/>
      <c r="O484" s="3172"/>
      <c r="P484" s="3172"/>
      <c r="Q484" s="3172"/>
      <c r="R484" s="3172"/>
      <c r="S484" s="3172"/>
      <c r="T484" s="3172"/>
      <c r="U484" s="3172"/>
      <c r="V484" s="3172"/>
      <c r="W484" s="3172"/>
      <c r="X484" s="3172"/>
      <c r="Y484" s="3172"/>
      <c r="Z484" s="3172"/>
    </row>
    <row r="485" spans="10:26" s="3173" customFormat="1" ht="21.75" customHeight="1">
      <c r="J485" s="3172"/>
      <c r="K485" s="3172"/>
      <c r="L485" s="3172"/>
      <c r="M485" s="3172"/>
      <c r="N485" s="3172"/>
      <c r="O485" s="3172"/>
      <c r="P485" s="3172"/>
      <c r="Q485" s="3172"/>
      <c r="R485" s="3172"/>
      <c r="S485" s="3172"/>
      <c r="T485" s="3172"/>
      <c r="U485" s="3172"/>
      <c r="V485" s="3172"/>
      <c r="W485" s="3172"/>
      <c r="X485" s="3172"/>
      <c r="Y485" s="3172"/>
      <c r="Z485" s="3172"/>
    </row>
    <row r="486" spans="10:26" s="3173" customFormat="1" ht="21.75" customHeight="1">
      <c r="J486" s="3172"/>
      <c r="K486" s="3172"/>
      <c r="L486" s="3172"/>
      <c r="M486" s="3172"/>
      <c r="N486" s="3172"/>
      <c r="O486" s="3172"/>
      <c r="P486" s="3172"/>
      <c r="Q486" s="3172"/>
      <c r="R486" s="3172"/>
      <c r="S486" s="3172"/>
      <c r="T486" s="3172"/>
      <c r="U486" s="3172"/>
      <c r="V486" s="3172"/>
      <c r="W486" s="3172"/>
      <c r="X486" s="3172"/>
      <c r="Y486" s="3172"/>
      <c r="Z486" s="3172"/>
    </row>
    <row r="487" spans="10:26" s="3173" customFormat="1" ht="21.75" customHeight="1">
      <c r="J487" s="3172"/>
      <c r="K487" s="3172"/>
      <c r="L487" s="3172"/>
      <c r="M487" s="3172"/>
      <c r="N487" s="3172"/>
      <c r="O487" s="3172"/>
      <c r="P487" s="3172"/>
      <c r="Q487" s="3172"/>
      <c r="R487" s="3172"/>
      <c r="S487" s="3172"/>
      <c r="T487" s="3172"/>
      <c r="U487" s="3172"/>
      <c r="V487" s="3172"/>
      <c r="W487" s="3172"/>
      <c r="X487" s="3172"/>
      <c r="Y487" s="3172"/>
      <c r="Z487" s="3172"/>
    </row>
    <row r="488" spans="10:26" s="3173" customFormat="1" ht="21.75" customHeight="1">
      <c r="J488" s="3172"/>
      <c r="K488" s="3172"/>
      <c r="L488" s="3172"/>
      <c r="M488" s="3172"/>
      <c r="N488" s="3172"/>
      <c r="O488" s="3172"/>
      <c r="P488" s="3172"/>
      <c r="Q488" s="3172"/>
      <c r="R488" s="3172"/>
      <c r="S488" s="3172"/>
      <c r="T488" s="3172"/>
      <c r="U488" s="3172"/>
      <c r="V488" s="3172"/>
      <c r="W488" s="3172"/>
      <c r="X488" s="3172"/>
      <c r="Y488" s="3172"/>
      <c r="Z488" s="3172"/>
    </row>
    <row r="489" spans="10:26" s="3173" customFormat="1" ht="21.75" customHeight="1">
      <c r="J489" s="3172"/>
      <c r="K489" s="3172"/>
      <c r="L489" s="3172"/>
      <c r="M489" s="3172"/>
      <c r="N489" s="3172"/>
      <c r="O489" s="3172"/>
      <c r="P489" s="3172"/>
      <c r="Q489" s="3172"/>
      <c r="R489" s="3172"/>
      <c r="S489" s="3172"/>
      <c r="T489" s="3172"/>
      <c r="U489" s="3172"/>
      <c r="V489" s="3172"/>
      <c r="W489" s="3172"/>
      <c r="X489" s="3172"/>
      <c r="Y489" s="3172"/>
      <c r="Z489" s="3172"/>
    </row>
    <row r="490" spans="10:26" s="3173" customFormat="1" ht="21.75" customHeight="1">
      <c r="J490" s="3172"/>
      <c r="K490" s="3172"/>
      <c r="L490" s="3172"/>
      <c r="M490" s="3172"/>
      <c r="N490" s="3172"/>
      <c r="O490" s="3172"/>
      <c r="P490" s="3172"/>
      <c r="Q490" s="3172"/>
      <c r="R490" s="3172"/>
      <c r="S490" s="3172"/>
      <c r="T490" s="3172"/>
      <c r="U490" s="3172"/>
      <c r="V490" s="3172"/>
      <c r="W490" s="3172"/>
      <c r="X490" s="3172"/>
      <c r="Y490" s="3172"/>
      <c r="Z490" s="3172"/>
    </row>
    <row r="491" spans="10:26" s="3173" customFormat="1" ht="21.75" customHeight="1">
      <c r="J491" s="3172"/>
      <c r="K491" s="3172"/>
      <c r="L491" s="3172"/>
      <c r="M491" s="3172"/>
      <c r="N491" s="3172"/>
      <c r="O491" s="3172"/>
      <c r="P491" s="3172"/>
      <c r="Q491" s="3172"/>
      <c r="R491" s="3172"/>
      <c r="S491" s="3172"/>
      <c r="T491" s="3172"/>
      <c r="U491" s="3172"/>
      <c r="V491" s="3172"/>
      <c r="W491" s="3172"/>
      <c r="X491" s="3172"/>
      <c r="Y491" s="3172"/>
      <c r="Z491" s="3172"/>
    </row>
    <row r="492" spans="10:26" s="3173" customFormat="1" ht="21.75" customHeight="1">
      <c r="J492" s="3172"/>
      <c r="K492" s="3172"/>
      <c r="L492" s="3172"/>
      <c r="M492" s="3172"/>
      <c r="N492" s="3172"/>
      <c r="O492" s="3172"/>
      <c r="P492" s="3172"/>
      <c r="Q492" s="3172"/>
      <c r="R492" s="3172"/>
      <c r="S492" s="3172"/>
      <c r="T492" s="3172"/>
      <c r="U492" s="3172"/>
      <c r="V492" s="3172"/>
      <c r="W492" s="3172"/>
      <c r="X492" s="3172"/>
      <c r="Y492" s="3172"/>
      <c r="Z492" s="3172"/>
    </row>
    <row r="493" spans="10:26" s="3173" customFormat="1" ht="21.75" customHeight="1">
      <c r="J493" s="3172"/>
      <c r="K493" s="3172"/>
      <c r="L493" s="3172"/>
      <c r="M493" s="3172"/>
      <c r="N493" s="3172"/>
      <c r="O493" s="3172"/>
      <c r="P493" s="3172"/>
      <c r="Q493" s="3172"/>
      <c r="R493" s="3172"/>
      <c r="S493" s="3172"/>
      <c r="T493" s="3172"/>
      <c r="U493" s="3172"/>
      <c r="V493" s="3172"/>
      <c r="W493" s="3172"/>
      <c r="X493" s="3172"/>
      <c r="Y493" s="3172"/>
      <c r="Z493" s="3172"/>
    </row>
    <row r="494" spans="10:26" s="3173" customFormat="1" ht="21.75" customHeight="1">
      <c r="J494" s="3172"/>
      <c r="K494" s="3172"/>
      <c r="L494" s="3172"/>
      <c r="M494" s="3172"/>
      <c r="N494" s="3172"/>
      <c r="O494" s="3172"/>
      <c r="P494" s="3172"/>
      <c r="Q494" s="3172"/>
      <c r="R494" s="3172"/>
      <c r="S494" s="3172"/>
      <c r="T494" s="3172"/>
      <c r="U494" s="3172"/>
      <c r="V494" s="3172"/>
      <c r="W494" s="3172"/>
      <c r="X494" s="3172"/>
      <c r="Y494" s="3172"/>
      <c r="Z494" s="3172"/>
    </row>
    <row r="495" spans="10:26" s="3173" customFormat="1" ht="21.75" customHeight="1">
      <c r="J495" s="3172"/>
      <c r="K495" s="3172"/>
      <c r="L495" s="3172"/>
      <c r="M495" s="3172"/>
      <c r="N495" s="3172"/>
      <c r="O495" s="3172"/>
      <c r="P495" s="3172"/>
      <c r="Q495" s="3172"/>
      <c r="R495" s="3172"/>
      <c r="S495" s="3172"/>
      <c r="T495" s="3172"/>
      <c r="U495" s="3172"/>
      <c r="V495" s="3172"/>
      <c r="W495" s="3172"/>
      <c r="X495" s="3172"/>
      <c r="Y495" s="3172"/>
      <c r="Z495" s="3172"/>
    </row>
    <row r="496" spans="10:26" s="3173" customFormat="1" ht="21.75" customHeight="1">
      <c r="J496" s="3172"/>
      <c r="K496" s="3172"/>
      <c r="L496" s="3172"/>
      <c r="M496" s="3172"/>
      <c r="N496" s="3172"/>
      <c r="O496" s="3172"/>
      <c r="P496" s="3172"/>
      <c r="Q496" s="3172"/>
      <c r="R496" s="3172"/>
      <c r="S496" s="3172"/>
      <c r="T496" s="3172"/>
      <c r="U496" s="3172"/>
      <c r="V496" s="3172"/>
      <c r="W496" s="3172"/>
      <c r="X496" s="3172"/>
      <c r="Y496" s="3172"/>
      <c r="Z496" s="3172"/>
    </row>
    <row r="497" spans="10:26" s="3173" customFormat="1" ht="21.75" customHeight="1">
      <c r="J497" s="3172"/>
      <c r="K497" s="3172"/>
      <c r="L497" s="3172"/>
      <c r="M497" s="3172"/>
      <c r="N497" s="3172"/>
      <c r="O497" s="3172"/>
      <c r="P497" s="3172"/>
      <c r="Q497" s="3172"/>
      <c r="R497" s="3172"/>
      <c r="S497" s="3172"/>
      <c r="T497" s="3172"/>
      <c r="U497" s="3172"/>
      <c r="V497" s="3172"/>
      <c r="W497" s="3172"/>
      <c r="X497" s="3172"/>
      <c r="Y497" s="3172"/>
      <c r="Z497" s="3172"/>
    </row>
    <row r="498" spans="10:26" s="3173" customFormat="1" ht="21.75" customHeight="1">
      <c r="J498" s="3172"/>
      <c r="K498" s="3172"/>
      <c r="L498" s="3172"/>
      <c r="M498" s="3172"/>
      <c r="N498" s="3172"/>
      <c r="O498" s="3172"/>
      <c r="P498" s="3172"/>
      <c r="Q498" s="3172"/>
      <c r="R498" s="3172"/>
      <c r="S498" s="3172"/>
      <c r="T498" s="3172"/>
      <c r="U498" s="3172"/>
      <c r="V498" s="3172"/>
      <c r="W498" s="3172"/>
      <c r="X498" s="3172"/>
      <c r="Y498" s="3172"/>
      <c r="Z498" s="3172"/>
    </row>
    <row r="499" spans="10:26" s="3173" customFormat="1" ht="21.75" customHeight="1">
      <c r="J499" s="3172"/>
      <c r="K499" s="3172"/>
      <c r="L499" s="3172"/>
      <c r="M499" s="3172"/>
      <c r="N499" s="3172"/>
      <c r="O499" s="3172"/>
      <c r="P499" s="3172"/>
      <c r="Q499" s="3172"/>
      <c r="R499" s="3172"/>
      <c r="S499" s="3172"/>
      <c r="T499" s="3172"/>
      <c r="U499" s="3172"/>
      <c r="V499" s="3172"/>
      <c r="W499" s="3172"/>
      <c r="X499" s="3172"/>
      <c r="Y499" s="3172"/>
      <c r="Z499" s="3172"/>
    </row>
    <row r="500" spans="10:26" s="3173" customFormat="1" ht="21.75" customHeight="1">
      <c r="J500" s="3172"/>
      <c r="K500" s="3172"/>
      <c r="L500" s="3172"/>
      <c r="M500" s="3172"/>
      <c r="N500" s="3172"/>
      <c r="O500" s="3172"/>
      <c r="P500" s="3172"/>
      <c r="Q500" s="3172"/>
      <c r="R500" s="3172"/>
      <c r="S500" s="3172"/>
      <c r="T500" s="3172"/>
      <c r="U500" s="3172"/>
      <c r="V500" s="3172"/>
      <c r="W500" s="3172"/>
      <c r="X500" s="3172"/>
      <c r="Y500" s="3172"/>
      <c r="Z500" s="3172"/>
    </row>
    <row r="501" spans="10:26" s="3173" customFormat="1" ht="21.75" customHeight="1">
      <c r="J501" s="3172"/>
      <c r="K501" s="3172"/>
      <c r="L501" s="3172"/>
      <c r="M501" s="3172"/>
      <c r="N501" s="3172"/>
      <c r="O501" s="3172"/>
      <c r="P501" s="3172"/>
      <c r="Q501" s="3172"/>
      <c r="R501" s="3172"/>
      <c r="S501" s="3172"/>
      <c r="T501" s="3172"/>
      <c r="U501" s="3172"/>
      <c r="V501" s="3172"/>
      <c r="W501" s="3172"/>
      <c r="X501" s="3172"/>
      <c r="Y501" s="3172"/>
      <c r="Z501" s="3172"/>
    </row>
    <row r="502" spans="10:26" s="3173" customFormat="1" ht="21.75" customHeight="1">
      <c r="J502" s="3172"/>
      <c r="K502" s="3172"/>
      <c r="L502" s="3172"/>
      <c r="M502" s="3172"/>
      <c r="N502" s="3172"/>
      <c r="O502" s="3172"/>
      <c r="P502" s="3172"/>
      <c r="Q502" s="3172"/>
      <c r="R502" s="3172"/>
      <c r="S502" s="3172"/>
      <c r="T502" s="3172"/>
      <c r="U502" s="3172"/>
      <c r="V502" s="3172"/>
      <c r="W502" s="3172"/>
      <c r="X502" s="3172"/>
      <c r="Y502" s="3172"/>
      <c r="Z502" s="3172"/>
    </row>
    <row r="503" spans="10:26" s="3173" customFormat="1" ht="21.75" customHeight="1">
      <c r="J503" s="3172"/>
      <c r="K503" s="3172"/>
      <c r="L503" s="3172"/>
      <c r="M503" s="3172"/>
      <c r="N503" s="3172"/>
      <c r="O503" s="3172"/>
      <c r="P503" s="3172"/>
      <c r="Q503" s="3172"/>
      <c r="R503" s="3172"/>
      <c r="S503" s="3172"/>
      <c r="T503" s="3172"/>
      <c r="U503" s="3172"/>
      <c r="V503" s="3172"/>
      <c r="W503" s="3172"/>
      <c r="X503" s="3172"/>
      <c r="Y503" s="3172"/>
      <c r="Z503" s="3172"/>
    </row>
    <row r="504" spans="10:26" s="3173" customFormat="1" ht="21.75" customHeight="1">
      <c r="J504" s="3172"/>
      <c r="K504" s="3172"/>
      <c r="L504" s="3172"/>
      <c r="M504" s="3172"/>
      <c r="N504" s="3172"/>
      <c r="O504" s="3172"/>
      <c r="P504" s="3172"/>
      <c r="Q504" s="3172"/>
      <c r="R504" s="3172"/>
      <c r="S504" s="3172"/>
      <c r="T504" s="3172"/>
      <c r="U504" s="3172"/>
      <c r="V504" s="3172"/>
      <c r="W504" s="3172"/>
      <c r="X504" s="3172"/>
      <c r="Y504" s="3172"/>
      <c r="Z504" s="3172"/>
    </row>
    <row r="505" spans="10:26" s="3173" customFormat="1" ht="21.75" customHeight="1">
      <c r="J505" s="3172"/>
      <c r="K505" s="3172"/>
      <c r="L505" s="3172"/>
      <c r="M505" s="3172"/>
      <c r="N505" s="3172"/>
      <c r="O505" s="3172"/>
      <c r="P505" s="3172"/>
      <c r="Q505" s="3172"/>
      <c r="R505" s="3172"/>
      <c r="S505" s="3172"/>
      <c r="T505" s="3172"/>
      <c r="U505" s="3172"/>
      <c r="V505" s="3172"/>
      <c r="W505" s="3172"/>
      <c r="X505" s="3172"/>
      <c r="Y505" s="3172"/>
      <c r="Z505" s="3172"/>
    </row>
    <row r="506" spans="10:26" s="3173" customFormat="1" ht="21.75" customHeight="1">
      <c r="J506" s="3172"/>
      <c r="K506" s="3172"/>
      <c r="L506" s="3172"/>
      <c r="M506" s="3172"/>
      <c r="N506" s="3172"/>
      <c r="O506" s="3172"/>
      <c r="P506" s="3172"/>
      <c r="Q506" s="3172"/>
      <c r="R506" s="3172"/>
      <c r="S506" s="3172"/>
      <c r="T506" s="3172"/>
      <c r="U506" s="3172"/>
      <c r="V506" s="3172"/>
      <c r="W506" s="3172"/>
      <c r="X506" s="3172"/>
      <c r="Y506" s="3172"/>
      <c r="Z506" s="3172"/>
    </row>
    <row r="507" spans="10:26" s="3173" customFormat="1" ht="21.75" customHeight="1">
      <c r="J507" s="3172"/>
      <c r="K507" s="3172"/>
      <c r="L507" s="3172"/>
      <c r="M507" s="3172"/>
      <c r="N507" s="3172"/>
      <c r="O507" s="3172"/>
      <c r="P507" s="3172"/>
      <c r="Q507" s="3172"/>
      <c r="R507" s="3172"/>
      <c r="S507" s="3172"/>
      <c r="T507" s="3172"/>
      <c r="U507" s="3172"/>
      <c r="V507" s="3172"/>
      <c r="W507" s="3172"/>
      <c r="X507" s="3172"/>
      <c r="Y507" s="3172"/>
      <c r="Z507" s="3172"/>
    </row>
    <row r="508" spans="10:26" s="3173" customFormat="1" ht="21.75" customHeight="1">
      <c r="J508" s="3172"/>
      <c r="K508" s="3172"/>
      <c r="L508" s="3172"/>
      <c r="M508" s="3172"/>
      <c r="N508" s="3172"/>
      <c r="O508" s="3172"/>
      <c r="P508" s="3172"/>
      <c r="Q508" s="3172"/>
      <c r="R508" s="3172"/>
      <c r="S508" s="3172"/>
      <c r="T508" s="3172"/>
      <c r="U508" s="3172"/>
      <c r="V508" s="3172"/>
      <c r="W508" s="3172"/>
      <c r="X508" s="3172"/>
      <c r="Y508" s="3172"/>
      <c r="Z508" s="3172"/>
    </row>
    <row r="509" spans="10:26" s="3173" customFormat="1" ht="21.75" customHeight="1">
      <c r="J509" s="3172"/>
      <c r="K509" s="3172"/>
      <c r="L509" s="3172"/>
      <c r="M509" s="3172"/>
      <c r="N509" s="3172"/>
      <c r="O509" s="3172"/>
      <c r="P509" s="3172"/>
      <c r="Q509" s="3172"/>
      <c r="R509" s="3172"/>
      <c r="S509" s="3172"/>
      <c r="T509" s="3172"/>
      <c r="U509" s="3172"/>
      <c r="V509" s="3172"/>
      <c r="W509" s="3172"/>
      <c r="X509" s="3172"/>
      <c r="Y509" s="3172"/>
      <c r="Z509" s="3172"/>
    </row>
    <row r="510" spans="10:26" s="3173" customFormat="1" ht="21.75" customHeight="1">
      <c r="J510" s="3172"/>
      <c r="K510" s="3172"/>
      <c r="L510" s="3172"/>
      <c r="M510" s="3172"/>
      <c r="N510" s="3172"/>
      <c r="O510" s="3172"/>
      <c r="P510" s="3172"/>
      <c r="Q510" s="3172"/>
      <c r="R510" s="3172"/>
      <c r="S510" s="3172"/>
      <c r="T510" s="3172"/>
      <c r="U510" s="3172"/>
      <c r="V510" s="3172"/>
      <c r="W510" s="3172"/>
      <c r="X510" s="3172"/>
      <c r="Y510" s="3172"/>
      <c r="Z510" s="3172"/>
    </row>
    <row r="511" spans="10:26" s="3173" customFormat="1" ht="21.75" customHeight="1">
      <c r="J511" s="3172"/>
      <c r="K511" s="3172"/>
      <c r="L511" s="3172"/>
      <c r="M511" s="3172"/>
      <c r="N511" s="3172"/>
      <c r="O511" s="3172"/>
      <c r="P511" s="3172"/>
      <c r="Q511" s="3172"/>
      <c r="R511" s="3172"/>
      <c r="S511" s="3172"/>
      <c r="T511" s="3172"/>
      <c r="U511" s="3172"/>
      <c r="V511" s="3172"/>
      <c r="W511" s="3172"/>
      <c r="X511" s="3172"/>
      <c r="Y511" s="3172"/>
      <c r="Z511" s="3172"/>
    </row>
    <row r="512" spans="10:26" s="3173" customFormat="1" ht="21.75" customHeight="1">
      <c r="J512" s="3172"/>
      <c r="K512" s="3172"/>
      <c r="L512" s="3172"/>
      <c r="M512" s="3172"/>
      <c r="N512" s="3172"/>
      <c r="O512" s="3172"/>
      <c r="P512" s="3172"/>
      <c r="Q512" s="3172"/>
      <c r="R512" s="3172"/>
      <c r="S512" s="3172"/>
      <c r="T512" s="3172"/>
      <c r="U512" s="3172"/>
      <c r="V512" s="3172"/>
      <c r="W512" s="3172"/>
      <c r="X512" s="3172"/>
      <c r="Y512" s="3172"/>
      <c r="Z512" s="317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56" sqref="E56"/>
    </sheetView>
  </sheetViews>
  <sheetFormatPr defaultColWidth="9" defaultRowHeight="13.8"/>
  <cols>
    <col min="1" max="1" width="14.33203125" style="219" customWidth="1"/>
    <col min="2" max="2" width="15.77734375" style="219" customWidth="1"/>
    <col min="3" max="3" width="27.109375" style="2693" customWidth="1"/>
    <col min="4" max="4" width="8.88671875" style="2693" customWidth="1"/>
    <col min="5" max="5" width="14.33203125" style="2693" customWidth="1"/>
    <col min="6" max="6" width="8.6640625" style="2693" customWidth="1"/>
    <col min="7" max="7" width="14.44140625" style="2693" customWidth="1"/>
    <col min="8" max="8" width="7.77734375" style="2693" customWidth="1"/>
    <col min="9" max="9" width="14.44140625" style="2693" customWidth="1"/>
    <col min="10" max="10" width="9.44140625" style="2693" customWidth="1"/>
    <col min="11" max="11" width="12.21875" style="2693"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30" s="214" customFormat="1" ht="28.5" customHeight="1">
      <c r="A1" s="210" t="s">
        <v>2322</v>
      </c>
      <c r="B1" s="211"/>
      <c r="C1" s="2524" t="s">
        <v>2323</v>
      </c>
      <c r="D1" s="2525"/>
      <c r="E1" s="2525"/>
      <c r="F1" s="2526" t="s">
        <v>2221</v>
      </c>
      <c r="G1" s="2525"/>
      <c r="H1" s="2525"/>
      <c r="I1" s="2525"/>
      <c r="J1" s="2525"/>
      <c r="K1" s="2527"/>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396070</v>
      </c>
      <c r="C2" s="2528"/>
      <c r="D2" s="2528"/>
      <c r="E2" s="2529"/>
      <c r="F2" s="2530"/>
      <c r="G2" s="2529"/>
      <c r="H2" s="2529"/>
      <c r="I2" s="2529"/>
      <c r="J2" s="2529"/>
      <c r="K2" s="2531"/>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32464</v>
      </c>
      <c r="C3" s="2483" t="s">
        <v>2324</v>
      </c>
      <c r="D3" s="2532"/>
      <c r="E3" s="2529"/>
      <c r="F3" s="2530"/>
      <c r="G3" s="2529"/>
      <c r="H3" s="2529"/>
      <c r="I3" s="2529"/>
      <c r="J3" s="2529"/>
      <c r="K3" s="2531"/>
      <c r="L3" s="2120"/>
      <c r="M3" s="2121"/>
      <c r="N3" s="2121"/>
      <c r="O3" s="2121"/>
      <c r="P3" s="512"/>
      <c r="Q3" s="512"/>
      <c r="R3" s="512"/>
      <c r="S3" s="512"/>
      <c r="T3" s="512"/>
      <c r="U3" s="512"/>
      <c r="V3" s="512"/>
      <c r="W3" s="512"/>
      <c r="X3" s="512"/>
      <c r="Y3" s="512"/>
      <c r="Z3" s="512"/>
      <c r="AA3" s="512"/>
      <c r="AB3" s="529"/>
      <c r="AC3" s="526"/>
    </row>
    <row r="4" spans="1:30" ht="14.4">
      <c r="A4" s="217" t="s">
        <v>2223</v>
      </c>
      <c r="B4" s="218"/>
      <c r="C4" s="3820" t="s">
        <v>2224</v>
      </c>
      <c r="D4" s="3821"/>
      <c r="E4" s="3822" t="s">
        <v>2225</v>
      </c>
      <c r="F4" s="3823"/>
      <c r="G4" s="3820" t="s">
        <v>2226</v>
      </c>
      <c r="H4" s="3821"/>
      <c r="I4" s="3820" t="s">
        <v>2227</v>
      </c>
      <c r="J4" s="3821"/>
      <c r="K4" s="2534" t="s">
        <v>2228</v>
      </c>
      <c r="L4" s="2101"/>
      <c r="M4" s="2102"/>
      <c r="N4" s="2102"/>
      <c r="O4" s="2102"/>
      <c r="P4" s="3824" t="s">
        <v>2229</v>
      </c>
      <c r="Q4" s="3825"/>
      <c r="R4" s="3806" t="s">
        <v>2225</v>
      </c>
      <c r="S4" s="3807"/>
      <c r="T4" s="3806" t="s">
        <v>2226</v>
      </c>
      <c r="U4" s="3807"/>
      <c r="V4" s="3832" t="s">
        <v>2227</v>
      </c>
      <c r="W4" s="3832"/>
      <c r="X4" s="1161"/>
      <c r="Y4" s="3806" t="s">
        <v>2229</v>
      </c>
      <c r="Z4" s="3807"/>
      <c r="AA4" s="3801" t="s">
        <v>2225</v>
      </c>
      <c r="AB4" s="3802" t="s">
        <v>2226</v>
      </c>
      <c r="AC4" s="3801" t="s">
        <v>2227</v>
      </c>
    </row>
    <row r="5" spans="1:30" ht="60" customHeight="1">
      <c r="A5" s="220"/>
      <c r="B5" s="221"/>
      <c r="C5" s="3812" t="s">
        <v>2120</v>
      </c>
      <c r="D5" s="3813"/>
      <c r="E5" s="3810" t="str">
        <f>土地案例!A19</f>
        <v>北京市朝阳区金盏乡小店村3005-08地块R2二类居住用地</v>
      </c>
      <c r="F5" s="3811"/>
      <c r="G5" s="3812" t="str">
        <f>土地案例!A7</f>
        <v>北京市朝阳区崔各庄乡黑桥村、南皋村棚户区改造土地开发项目30-L03-01地块R2二类居住用地等(配建“保障性租赁住房”)</v>
      </c>
      <c r="H5" s="3813"/>
      <c r="I5" s="3812" t="str">
        <f>土地案例!A4</f>
        <v>北京市朝阳区崔各庄乡奶西村棚户区改造土地开发项目29-318地块R2二类居住用地</v>
      </c>
      <c r="J5" s="3813"/>
      <c r="K5" s="2534"/>
      <c r="L5" s="2101"/>
      <c r="M5" s="2102"/>
      <c r="N5" s="2102"/>
      <c r="O5" s="2102"/>
      <c r="P5" s="3826"/>
      <c r="Q5" s="3827"/>
      <c r="R5" s="3808"/>
      <c r="S5" s="3809"/>
      <c r="T5" s="3808"/>
      <c r="U5" s="3809"/>
      <c r="V5" s="3832"/>
      <c r="W5" s="3832"/>
      <c r="X5" s="1161"/>
      <c r="Y5" s="3808"/>
      <c r="Z5" s="3809"/>
      <c r="AA5" s="3802"/>
      <c r="AB5" s="3802"/>
      <c r="AC5" s="3802"/>
    </row>
    <row r="6" spans="1:30" ht="15" thickBot="1">
      <c r="A6" s="222"/>
      <c r="B6" s="223"/>
      <c r="C6" s="3814" t="s">
        <v>2124</v>
      </c>
      <c r="D6" s="3815"/>
      <c r="E6" s="3816" t="s">
        <v>2124</v>
      </c>
      <c r="F6" s="3817"/>
      <c r="G6" s="3814" t="s">
        <v>2124</v>
      </c>
      <c r="H6" s="3815"/>
      <c r="I6" s="3814" t="s">
        <v>2124</v>
      </c>
      <c r="J6" s="3815"/>
      <c r="K6" s="2534" t="s">
        <v>2125</v>
      </c>
      <c r="L6" s="2101"/>
      <c r="M6" s="2102"/>
      <c r="N6" s="2102"/>
      <c r="O6" s="2102"/>
      <c r="P6" s="3828"/>
      <c r="Q6" s="3829"/>
      <c r="R6" s="3808"/>
      <c r="S6" s="3809"/>
      <c r="T6" s="3830"/>
      <c r="U6" s="3831"/>
      <c r="V6" s="3832"/>
      <c r="W6" s="3832"/>
      <c r="X6" s="1161"/>
      <c r="Y6" s="3830"/>
      <c r="Z6" s="3831"/>
      <c r="AA6" s="3803"/>
      <c r="AB6" s="3803"/>
      <c r="AC6" s="3803"/>
    </row>
    <row r="7" spans="1:30" s="50" customFormat="1" ht="15" thickBot="1">
      <c r="A7" s="224" t="s">
        <v>2126</v>
      </c>
      <c r="B7" s="225"/>
      <c r="C7" s="2535">
        <f>'数据-取费表'!B2</f>
        <v>44775</v>
      </c>
      <c r="D7" s="2536">
        <v>100</v>
      </c>
      <c r="E7" s="3436">
        <f>土地案例!AB19</f>
        <v>44326.000497685185</v>
      </c>
      <c r="F7" s="2537">
        <f>SUMIF(69:69,YEAR(E7)&amp;"-"&amp;INT((MONTH(E7)+2)/3),70:70)</f>
        <v>97.5</v>
      </c>
      <c r="G7" s="3569">
        <f>土地案例!AB7</f>
        <v>44609.000497685185</v>
      </c>
      <c r="H7" s="2536">
        <f>SUMIF(69:69,YEAR(G7)&amp;"-"&amp;INT((MONTH(G7)+2)/3),70:70)</f>
        <v>99</v>
      </c>
      <c r="I7" s="3569">
        <f>土地案例!AB4</f>
        <v>44713.000497685185</v>
      </c>
      <c r="J7" s="2536">
        <f>SUMIF(69:69,YEAR(I7)&amp;"-"&amp;INT((MONTH(I7)+2)/3),70:70)</f>
        <v>99.5</v>
      </c>
      <c r="K7" s="2534"/>
      <c r="L7" s="2103"/>
      <c r="M7" s="2104"/>
      <c r="N7" s="2104"/>
      <c r="O7" s="2104"/>
      <c r="P7" s="3804" t="s">
        <v>2127</v>
      </c>
      <c r="Q7" s="3833"/>
      <c r="R7" s="514" t="s">
        <v>17</v>
      </c>
      <c r="S7" s="515">
        <f t="shared" ref="S7:S15" si="0">F7</f>
        <v>97.5</v>
      </c>
      <c r="T7" s="514" t="s">
        <v>17</v>
      </c>
      <c r="U7" s="515">
        <f t="shared" ref="U7:U15" si="1">H7</f>
        <v>99</v>
      </c>
      <c r="V7" s="514" t="s">
        <v>17</v>
      </c>
      <c r="W7" s="515">
        <f t="shared" ref="W7:W15" si="2">J7</f>
        <v>99.5</v>
      </c>
      <c r="X7" s="516"/>
      <c r="Y7" s="3804" t="s">
        <v>2127</v>
      </c>
      <c r="Z7" s="3805"/>
      <c r="AA7" s="517">
        <f>D7/F7</f>
        <v>1.0256410256410255</v>
      </c>
      <c r="AB7" s="517">
        <f>D7/H7</f>
        <v>1.0101010101010102</v>
      </c>
      <c r="AC7" s="517">
        <f>D7/J7</f>
        <v>1.0050251256281406</v>
      </c>
    </row>
    <row r="8" spans="1:30" s="50" customFormat="1" ht="15" thickBot="1">
      <c r="A8" s="224" t="s">
        <v>2128</v>
      </c>
      <c r="B8" s="225"/>
      <c r="C8" s="2538" t="s">
        <v>2129</v>
      </c>
      <c r="D8" s="2536">
        <v>100</v>
      </c>
      <c r="E8" s="2538" t="s">
        <v>2129</v>
      </c>
      <c r="F8" s="2537">
        <f>SUMIF(72:72,E8,73:73)-SUMIF(72:72,C8,73:73)+100</f>
        <v>100</v>
      </c>
      <c r="G8" s="2538" t="s">
        <v>2129</v>
      </c>
      <c r="H8" s="2536">
        <f>SUMIF(72:72,G8,73:73)-SUMIF(72:72,C8,73:73)+100</f>
        <v>100</v>
      </c>
      <c r="I8" s="2538" t="s">
        <v>2129</v>
      </c>
      <c r="J8" s="2536">
        <f>SUMIF(72:72,I8,73:73)-SUMIF(72:72,C8,73:73)+100</f>
        <v>100</v>
      </c>
      <c r="K8" s="2534"/>
      <c r="L8" s="2103"/>
      <c r="M8" s="2104"/>
      <c r="N8" s="2104"/>
      <c r="O8" s="2104"/>
      <c r="P8" s="3804" t="s">
        <v>2130</v>
      </c>
      <c r="Q8" s="3805"/>
      <c r="R8" s="514" t="s">
        <v>17</v>
      </c>
      <c r="S8" s="515">
        <f t="shared" si="0"/>
        <v>100</v>
      </c>
      <c r="T8" s="514" t="s">
        <v>17</v>
      </c>
      <c r="U8" s="515">
        <f t="shared" si="1"/>
        <v>100</v>
      </c>
      <c r="V8" s="514" t="s">
        <v>17</v>
      </c>
      <c r="W8" s="515">
        <f t="shared" si="2"/>
        <v>100</v>
      </c>
      <c r="X8" s="516"/>
      <c r="Y8" s="3804" t="s">
        <v>2130</v>
      </c>
      <c r="Z8" s="3805"/>
      <c r="AA8" s="517">
        <f t="shared" ref="AA8:AA45" si="3">D8/F8</f>
        <v>1</v>
      </c>
      <c r="AB8" s="517">
        <f t="shared" ref="AB8:AB45" si="4">D8/H8</f>
        <v>1</v>
      </c>
      <c r="AC8" s="517">
        <f t="shared" ref="AC8:AC45" si="5">D8/J8</f>
        <v>1</v>
      </c>
    </row>
    <row r="9" spans="1:30" s="50" customFormat="1" ht="14.4">
      <c r="A9" s="231" t="s">
        <v>2131</v>
      </c>
      <c r="B9" s="49" t="s">
        <v>2132</v>
      </c>
      <c r="C9" s="2539" t="s">
        <v>3513</v>
      </c>
      <c r="D9" s="2540">
        <v>100</v>
      </c>
      <c r="E9" s="2539" t="s">
        <v>3513</v>
      </c>
      <c r="F9" s="2540">
        <f>SUMIF(74:74,E9,75:75)-SUMIF(74:74,C9,75:75)+100</f>
        <v>100</v>
      </c>
      <c r="G9" s="2539" t="s">
        <v>3513</v>
      </c>
      <c r="H9" s="2540">
        <f>SUMIF(74:74,G9,75:75)-SUMIF(74:74,C9,75:75)+100</f>
        <v>100</v>
      </c>
      <c r="I9" s="2539" t="s">
        <v>3513</v>
      </c>
      <c r="J9" s="2540">
        <f>SUMIF(74:74,I9,75:75)-SUMIF(74:74,C9,75:75)+100</f>
        <v>100</v>
      </c>
      <c r="K9" s="2534"/>
      <c r="L9" s="2103"/>
      <c r="M9" s="2104"/>
      <c r="N9" s="2104"/>
      <c r="O9" s="2158"/>
      <c r="P9" s="3818" t="s">
        <v>2133</v>
      </c>
      <c r="Q9" s="1150" t="str">
        <f t="shared" ref="Q9:Q15" si="6">B9</f>
        <v>用途</v>
      </c>
      <c r="R9" s="514" t="s">
        <v>17</v>
      </c>
      <c r="S9" s="515">
        <f t="shared" si="0"/>
        <v>100</v>
      </c>
      <c r="T9" s="514" t="s">
        <v>17</v>
      </c>
      <c r="U9" s="515">
        <f t="shared" si="1"/>
        <v>100</v>
      </c>
      <c r="V9" s="514" t="s">
        <v>17</v>
      </c>
      <c r="W9" s="515">
        <f t="shared" si="2"/>
        <v>100</v>
      </c>
      <c r="X9" s="516"/>
      <c r="Y9" s="3819" t="s">
        <v>2134</v>
      </c>
      <c r="Z9" s="46" t="str">
        <f t="shared" ref="Z9:Z15" si="7">Q9</f>
        <v>用途</v>
      </c>
      <c r="AA9" s="517">
        <f t="shared" si="3"/>
        <v>1</v>
      </c>
      <c r="AB9" s="517">
        <f t="shared" si="4"/>
        <v>1</v>
      </c>
      <c r="AC9" s="517">
        <f t="shared" si="5"/>
        <v>1</v>
      </c>
    </row>
    <row r="10" spans="1:30" s="241" customFormat="1" ht="28.8">
      <c r="A10" s="236"/>
      <c r="B10" s="237" t="s">
        <v>2135</v>
      </c>
      <c r="C10" s="2541"/>
      <c r="D10" s="2542">
        <v>100</v>
      </c>
      <c r="E10" s="2541"/>
      <c r="F10" s="2542">
        <f>ROUND(100/'数据-取费表'!G16,0)</f>
        <v>101</v>
      </c>
      <c r="G10" s="2543"/>
      <c r="H10" s="2542">
        <f>ROUND(100/'数据-取费表'!G16,0)</f>
        <v>101</v>
      </c>
      <c r="I10" s="2543"/>
      <c r="J10" s="2542">
        <f>ROUND(100/'数据-取费表'!G16,0)</f>
        <v>101</v>
      </c>
      <c r="K10" s="2544"/>
      <c r="L10" s="2105"/>
      <c r="M10" s="2106"/>
      <c r="N10" s="2106"/>
      <c r="O10" s="2159"/>
      <c r="P10" s="3818"/>
      <c r="Q10" s="1150" t="str">
        <f t="shared" si="6"/>
        <v>土地使用年限（年）</v>
      </c>
      <c r="R10" s="514" t="s">
        <v>17</v>
      </c>
      <c r="S10" s="515">
        <f t="shared" si="0"/>
        <v>101</v>
      </c>
      <c r="T10" s="514" t="s">
        <v>17</v>
      </c>
      <c r="U10" s="515">
        <f t="shared" si="1"/>
        <v>101</v>
      </c>
      <c r="V10" s="514" t="s">
        <v>17</v>
      </c>
      <c r="W10" s="515">
        <f t="shared" si="2"/>
        <v>101</v>
      </c>
      <c r="X10" s="516"/>
      <c r="Y10" s="3819"/>
      <c r="Z10" s="46" t="str">
        <f t="shared" si="7"/>
        <v>土地使用年限（年）</v>
      </c>
      <c r="AA10" s="517">
        <f t="shared" si="3"/>
        <v>0.99009900990099009</v>
      </c>
      <c r="AB10" s="517">
        <f t="shared" si="4"/>
        <v>0.99009900990099009</v>
      </c>
      <c r="AC10" s="517">
        <f t="shared" si="5"/>
        <v>0.99009900990099009</v>
      </c>
    </row>
    <row r="11" spans="1:30" ht="15.6" thickBot="1">
      <c r="A11" s="242"/>
      <c r="B11" s="237" t="s">
        <v>2136</v>
      </c>
      <c r="C11" s="2545">
        <v>1.3</v>
      </c>
      <c r="D11" s="2542">
        <v>100</v>
      </c>
      <c r="E11" s="2545">
        <v>1.3</v>
      </c>
      <c r="F11" s="2542">
        <f>LOOKUP(E11,79:79,80:80)-LOOKUP(C11,79:79,80:80)+100</f>
        <v>100</v>
      </c>
      <c r="G11" s="2545">
        <v>2.25</v>
      </c>
      <c r="H11" s="2542">
        <f>LOOKUP(G11,79:79,80:80)-LOOKUP(C11,79:79,80:80)+100</f>
        <v>96</v>
      </c>
      <c r="I11" s="2546">
        <v>1.4</v>
      </c>
      <c r="J11" s="2542">
        <f>LOOKUP(I11,79:79,80:80)-LOOKUP(C11,79:79,80:80)+100</f>
        <v>100</v>
      </c>
      <c r="K11" s="2547">
        <v>2</v>
      </c>
      <c r="L11" s="2107"/>
      <c r="M11" s="2102"/>
      <c r="N11" s="2102"/>
      <c r="O11" s="2160"/>
      <c r="P11" s="3818"/>
      <c r="Q11" s="1150" t="str">
        <f t="shared" si="6"/>
        <v>容积率</v>
      </c>
      <c r="R11" s="514" t="s">
        <v>17</v>
      </c>
      <c r="S11" s="515">
        <f t="shared" si="0"/>
        <v>100</v>
      </c>
      <c r="T11" s="514" t="s">
        <v>17</v>
      </c>
      <c r="U11" s="515">
        <f t="shared" si="1"/>
        <v>96</v>
      </c>
      <c r="V11" s="514" t="s">
        <v>17</v>
      </c>
      <c r="W11" s="515">
        <f t="shared" si="2"/>
        <v>100</v>
      </c>
      <c r="X11" s="516"/>
      <c r="Y11" s="3819"/>
      <c r="Z11" s="46" t="str">
        <f t="shared" si="7"/>
        <v>容积率</v>
      </c>
      <c r="AA11" s="517">
        <f t="shared" si="3"/>
        <v>1</v>
      </c>
      <c r="AB11" s="517">
        <f t="shared" si="4"/>
        <v>1.0416666666666667</v>
      </c>
      <c r="AC11" s="517">
        <f t="shared" si="5"/>
        <v>1</v>
      </c>
    </row>
    <row r="12" spans="1:30" s="50" customFormat="1" ht="15.6" thickTop="1">
      <c r="A12" s="245"/>
      <c r="B12" s="1475" t="s">
        <v>2325</v>
      </c>
      <c r="C12" s="2548" t="s">
        <v>3544</v>
      </c>
      <c r="D12" s="2549">
        <v>100</v>
      </c>
      <c r="E12" s="2548" t="s">
        <v>3544</v>
      </c>
      <c r="F12" s="2542">
        <f>SUMIF(81:81,E12,82:82)-SUMIF(81:81,C12,82:82)+100</f>
        <v>100</v>
      </c>
      <c r="G12" s="2548" t="s">
        <v>3543</v>
      </c>
      <c r="H12" s="2542">
        <f>SUMIF(81:81,G12,82:82)-SUMIF(81:81,C12,82:82)+100</f>
        <v>97</v>
      </c>
      <c r="I12" s="2548" t="s">
        <v>3544</v>
      </c>
      <c r="J12" s="2542">
        <f>SUMIF(81:81,I12,82:82)-SUMIF(81:81,C12,82:82)+100</f>
        <v>100</v>
      </c>
      <c r="K12" s="2544"/>
      <c r="L12" s="2103"/>
      <c r="M12" s="2104"/>
      <c r="N12" s="2104"/>
      <c r="O12" s="2158"/>
      <c r="P12" s="3818"/>
      <c r="Q12" s="1150" t="str">
        <f t="shared" si="6"/>
        <v>配建</v>
      </c>
      <c r="R12" s="514" t="s">
        <v>17</v>
      </c>
      <c r="S12" s="515">
        <f t="shared" si="0"/>
        <v>100</v>
      </c>
      <c r="T12" s="514" t="s">
        <v>17</v>
      </c>
      <c r="U12" s="515">
        <f t="shared" si="1"/>
        <v>97</v>
      </c>
      <c r="V12" s="514" t="s">
        <v>17</v>
      </c>
      <c r="W12" s="515">
        <f t="shared" si="2"/>
        <v>100</v>
      </c>
      <c r="X12" s="516"/>
      <c r="Y12" s="3819"/>
      <c r="Z12" s="46" t="str">
        <f t="shared" si="7"/>
        <v>配建</v>
      </c>
      <c r="AA12" s="517">
        <f>D12/F12</f>
        <v>1</v>
      </c>
      <c r="AB12" s="517">
        <f>D12/H12</f>
        <v>1.0309278350515463</v>
      </c>
      <c r="AC12" s="517">
        <f>D12/J12</f>
        <v>1</v>
      </c>
    </row>
    <row r="13" spans="1:30" ht="15">
      <c r="A13" s="242"/>
      <c r="B13" s="2430" t="s">
        <v>3538</v>
      </c>
      <c r="C13" s="2550" t="s">
        <v>3541</v>
      </c>
      <c r="D13" s="2551">
        <v>100</v>
      </c>
      <c r="E13" s="2550" t="s">
        <v>3541</v>
      </c>
      <c r="F13" s="2542">
        <f>SUMIF(83:83,E13,84:84)-SUMIF(83:83,C13,84:84)+100</f>
        <v>100</v>
      </c>
      <c r="G13" s="2550" t="s">
        <v>3542</v>
      </c>
      <c r="H13" s="2551">
        <f>SUMIF(83:83,G13,84:84)-SUMIF(83:83,C13,84:84)+100</f>
        <v>103</v>
      </c>
      <c r="I13" s="2550" t="s">
        <v>3542</v>
      </c>
      <c r="J13" s="2551">
        <f>SUMIF(83:83,I13,84:84)-SUMIF(83:83,C13,84:84)+100</f>
        <v>103</v>
      </c>
      <c r="K13" s="2544"/>
      <c r="L13" s="2108"/>
      <c r="M13" s="2102"/>
      <c r="N13" s="2102"/>
      <c r="O13" s="2160"/>
      <c r="P13" s="3818"/>
      <c r="Q13" s="1150" t="str">
        <f t="shared" si="6"/>
        <v>限价</v>
      </c>
      <c r="R13" s="514" t="s">
        <v>17</v>
      </c>
      <c r="S13" s="515">
        <f t="shared" si="0"/>
        <v>100</v>
      </c>
      <c r="T13" s="514" t="s">
        <v>17</v>
      </c>
      <c r="U13" s="515">
        <f t="shared" si="1"/>
        <v>103</v>
      </c>
      <c r="V13" s="514" t="s">
        <v>17</v>
      </c>
      <c r="W13" s="515">
        <f t="shared" si="2"/>
        <v>103</v>
      </c>
      <c r="X13" s="516"/>
      <c r="Y13" s="3819"/>
      <c r="Z13" s="46" t="str">
        <f t="shared" si="7"/>
        <v>限价</v>
      </c>
      <c r="AA13" s="517">
        <f>D13/F13</f>
        <v>1</v>
      </c>
      <c r="AB13" s="517">
        <f>D13/H13</f>
        <v>0.970873786407767</v>
      </c>
      <c r="AC13" s="517">
        <f>D13/J13</f>
        <v>0.970873786407767</v>
      </c>
    </row>
    <row r="14" spans="1:30" ht="15.6" thickBot="1">
      <c r="A14" s="250"/>
      <c r="B14" s="2765">
        <v>111</v>
      </c>
      <c r="C14" s="2552"/>
      <c r="D14" s="2553">
        <v>100</v>
      </c>
      <c r="E14" s="2554"/>
      <c r="F14" s="2553">
        <f>SUMIF(85:85,E14,86:86)-SUMIF(85:85,C14,86:86)+100</f>
        <v>100</v>
      </c>
      <c r="G14" s="2555"/>
      <c r="H14" s="2553">
        <f>SUMIF(85:85,G14,86:86)-SUMIF(85:85,C14,86:86)+100</f>
        <v>100</v>
      </c>
      <c r="I14" s="2555"/>
      <c r="J14" s="2553">
        <f>SUMIF(85:85,I14,86:86)-SUMIF(85:85,C14,86:86)+100</f>
        <v>100</v>
      </c>
      <c r="K14" s="2544"/>
      <c r="L14" s="2108"/>
      <c r="M14" s="2102"/>
      <c r="N14" s="2102"/>
      <c r="O14" s="2160"/>
      <c r="P14" s="3818"/>
      <c r="Q14" s="1150">
        <f t="shared" si="6"/>
        <v>111</v>
      </c>
      <c r="R14" s="514" t="s">
        <v>17</v>
      </c>
      <c r="S14" s="515">
        <f t="shared" si="0"/>
        <v>100</v>
      </c>
      <c r="T14" s="514" t="s">
        <v>17</v>
      </c>
      <c r="U14" s="515">
        <f t="shared" si="1"/>
        <v>100</v>
      </c>
      <c r="V14" s="514" t="s">
        <v>17</v>
      </c>
      <c r="W14" s="515">
        <f t="shared" si="2"/>
        <v>100</v>
      </c>
      <c r="X14" s="516"/>
      <c r="Y14" s="3819"/>
      <c r="Z14" s="46">
        <f t="shared" si="7"/>
        <v>111</v>
      </c>
      <c r="AA14" s="517">
        <f>D14/F14</f>
        <v>1</v>
      </c>
      <c r="AB14" s="517">
        <f>D14/H14</f>
        <v>1</v>
      </c>
      <c r="AC14" s="517">
        <f>D14/J14</f>
        <v>1</v>
      </c>
    </row>
    <row r="15" spans="1:30" ht="84" customHeight="1">
      <c r="A15" s="254" t="s">
        <v>2137</v>
      </c>
      <c r="B15" s="48" t="s">
        <v>1703</v>
      </c>
      <c r="C15" s="2556" t="str">
        <f>估价对象房地状况!C15</f>
        <v>周边居住用地比例一般，居住小区规模较大，周边有金盏嘉园、金河湾山庄、九章别墅等住宅项目，入住情况一般，社区发展完善程度一般，综合评价居住社区成熟度一般</v>
      </c>
      <c r="D15" s="2557">
        <v>100</v>
      </c>
      <c r="E15" s="2558"/>
      <c r="F15" s="2557">
        <f>SUMIF(87:87,E16,88:88)-SUMIF(87:87,C16,88:88)+100</f>
        <v>100</v>
      </c>
      <c r="G15" s="2559" t="s">
        <v>3577</v>
      </c>
      <c r="H15" s="2557">
        <f>SUMIF(87:87,G16,88:88)-SUMIF(87:87,C16,88:88)+100</f>
        <v>100</v>
      </c>
      <c r="I15" s="2560" t="s">
        <v>3578</v>
      </c>
      <c r="J15" s="2557">
        <f>SUMIF(87:87,I16,88:88)-SUMIF(87:87,C16,88:88)+100</f>
        <v>100</v>
      </c>
      <c r="K15" s="2547">
        <v>1</v>
      </c>
      <c r="L15" s="2108"/>
      <c r="M15" s="2102"/>
      <c r="N15" s="2102"/>
      <c r="O15" s="2160"/>
      <c r="P15" s="3834" t="s">
        <v>2138</v>
      </c>
      <c r="Q15" s="1158" t="str">
        <f t="shared" si="6"/>
        <v>居住社区成熟度</v>
      </c>
      <c r="R15" s="518" t="s">
        <v>17</v>
      </c>
      <c r="S15" s="519">
        <f t="shared" si="0"/>
        <v>100</v>
      </c>
      <c r="T15" s="518" t="s">
        <v>17</v>
      </c>
      <c r="U15" s="519">
        <f t="shared" si="1"/>
        <v>100</v>
      </c>
      <c r="V15" s="518" t="s">
        <v>17</v>
      </c>
      <c r="W15" s="519">
        <f t="shared" si="2"/>
        <v>100</v>
      </c>
      <c r="X15" s="1161"/>
      <c r="Y15" s="3834" t="s">
        <v>2138</v>
      </c>
      <c r="Z15" s="1162" t="str">
        <f t="shared" si="7"/>
        <v>居住社区成熟度</v>
      </c>
      <c r="AA15" s="1159">
        <f t="shared" si="3"/>
        <v>1</v>
      </c>
      <c r="AB15" s="1159">
        <f t="shared" si="4"/>
        <v>1</v>
      </c>
      <c r="AC15" s="1159">
        <f t="shared" si="5"/>
        <v>1</v>
      </c>
    </row>
    <row r="16" spans="1:30" ht="15">
      <c r="A16" s="242"/>
      <c r="B16" s="259"/>
      <c r="C16" s="2561" t="s">
        <v>3529</v>
      </c>
      <c r="D16" s="2562"/>
      <c r="E16" s="2563" t="s">
        <v>3529</v>
      </c>
      <c r="F16" s="2562"/>
      <c r="G16" s="2563" t="s">
        <v>3529</v>
      </c>
      <c r="H16" s="2564"/>
      <c r="I16" s="2563" t="s">
        <v>3529</v>
      </c>
      <c r="J16" s="2562"/>
      <c r="K16" s="2544"/>
      <c r="L16" s="2108"/>
      <c r="M16" s="2102"/>
      <c r="N16" s="2102"/>
      <c r="O16" s="2160"/>
      <c r="P16" s="3835"/>
      <c r="Q16" s="1158"/>
      <c r="R16" s="518"/>
      <c r="S16" s="519"/>
      <c r="T16" s="518"/>
      <c r="U16" s="519"/>
      <c r="V16" s="518"/>
      <c r="W16" s="519"/>
      <c r="X16" s="1161"/>
      <c r="Y16" s="3835"/>
      <c r="Z16" s="1162"/>
      <c r="AA16" s="1159">
        <v>1</v>
      </c>
      <c r="AB16" s="1159">
        <v>1</v>
      </c>
      <c r="AC16" s="1159">
        <v>1</v>
      </c>
    </row>
    <row r="17" spans="1:29" ht="17.25" customHeight="1">
      <c r="A17" s="242"/>
      <c r="B17" s="264" t="s">
        <v>2231</v>
      </c>
      <c r="C17" s="2565">
        <f>估价对象房地状况!C16</f>
        <v>0</v>
      </c>
      <c r="D17" s="2564">
        <v>100</v>
      </c>
      <c r="E17" s="2566"/>
      <c r="F17" s="2564">
        <f>SUMIF(89:89,E18,90:90)-SUMIF(89:89,C18,90:90)+100</f>
        <v>100</v>
      </c>
      <c r="G17" s="2566"/>
      <c r="H17" s="2567">
        <f>SUMIF(89:89,G18,90:90)-SUMIF(89:89,C18,90:90)+100</f>
        <v>100</v>
      </c>
      <c r="I17" s="2568"/>
      <c r="J17" s="2567">
        <f>SUMIF(89:89,I18,90:90)-SUMIF(89:89,C18,90:90)+100</f>
        <v>100</v>
      </c>
      <c r="K17" s="2547"/>
      <c r="L17" s="2108"/>
      <c r="M17" s="2102"/>
      <c r="N17" s="2102"/>
      <c r="O17" s="2160"/>
      <c r="P17" s="3835"/>
      <c r="Q17" s="1158" t="str">
        <f>B17</f>
        <v>商业繁华度</v>
      </c>
      <c r="R17" s="518" t="s">
        <v>17</v>
      </c>
      <c r="S17" s="519">
        <f>F17</f>
        <v>100</v>
      </c>
      <c r="T17" s="518" t="s">
        <v>17</v>
      </c>
      <c r="U17" s="519">
        <f>H17</f>
        <v>100</v>
      </c>
      <c r="V17" s="518" t="s">
        <v>17</v>
      </c>
      <c r="W17" s="519">
        <f>J17</f>
        <v>100</v>
      </c>
      <c r="X17" s="1161"/>
      <c r="Y17" s="3835"/>
      <c r="Z17" s="1162" t="str">
        <f>Q17</f>
        <v>商业繁华度</v>
      </c>
      <c r="AA17" s="1159">
        <f t="shared" si="3"/>
        <v>1</v>
      </c>
      <c r="AB17" s="1159">
        <f t="shared" si="4"/>
        <v>1</v>
      </c>
      <c r="AC17" s="1159">
        <f t="shared" si="5"/>
        <v>1</v>
      </c>
    </row>
    <row r="18" spans="1:29" ht="15">
      <c r="A18" s="242"/>
      <c r="B18" s="269"/>
      <c r="C18" s="2569"/>
      <c r="D18" s="2564"/>
      <c r="E18" s="2570"/>
      <c r="F18" s="2564"/>
      <c r="G18" s="2570"/>
      <c r="H18" s="2562"/>
      <c r="I18" s="2569"/>
      <c r="J18" s="2562"/>
      <c r="K18" s="2544"/>
      <c r="L18" s="2108"/>
      <c r="M18" s="2102"/>
      <c r="N18" s="2102"/>
      <c r="O18" s="2160"/>
      <c r="P18" s="3835"/>
      <c r="Q18" s="1158"/>
      <c r="R18" s="518"/>
      <c r="S18" s="519"/>
      <c r="T18" s="518"/>
      <c r="U18" s="519"/>
      <c r="V18" s="518"/>
      <c r="W18" s="519"/>
      <c r="X18" s="1161"/>
      <c r="Y18" s="3835"/>
      <c r="Z18" s="1162"/>
      <c r="AA18" s="1159">
        <v>1</v>
      </c>
      <c r="AB18" s="1159">
        <v>1</v>
      </c>
      <c r="AC18" s="1159">
        <v>1</v>
      </c>
    </row>
    <row r="19" spans="1:29" ht="15">
      <c r="A19" s="242"/>
      <c r="B19" s="264" t="s">
        <v>2265</v>
      </c>
      <c r="C19" s="2565">
        <f>估价对象房地状况!C17</f>
        <v>0</v>
      </c>
      <c r="D19" s="2567">
        <v>100</v>
      </c>
      <c r="E19" s="2571"/>
      <c r="F19" s="2567">
        <f>SUMIF(91:91,E20,92:92)-SUMIF(91:91,C20,92:92)+100</f>
        <v>100</v>
      </c>
      <c r="G19" s="2571"/>
      <c r="H19" s="2564">
        <f>SUMIF(91:91,G20,92:92)-SUMIF(91:91,C20,92:92)+100</f>
        <v>100</v>
      </c>
      <c r="I19" s="2572"/>
      <c r="J19" s="2564">
        <f>SUMIF(91:91,I20,92:92)-SUMIF(91:91,C20,92:92)+100</f>
        <v>100</v>
      </c>
      <c r="K19" s="2547"/>
      <c r="L19" s="2108"/>
      <c r="M19" s="2102"/>
      <c r="N19" s="2102"/>
      <c r="O19" s="2160"/>
      <c r="P19" s="3835"/>
      <c r="Q19" s="1158" t="str">
        <f>B19</f>
        <v>办公集聚程度</v>
      </c>
      <c r="R19" s="518" t="s">
        <v>17</v>
      </c>
      <c r="S19" s="519">
        <f>F19</f>
        <v>100</v>
      </c>
      <c r="T19" s="518" t="s">
        <v>17</v>
      </c>
      <c r="U19" s="519">
        <f>H19</f>
        <v>100</v>
      </c>
      <c r="V19" s="518" t="s">
        <v>17</v>
      </c>
      <c r="W19" s="519">
        <f>J19</f>
        <v>100</v>
      </c>
      <c r="X19" s="1161"/>
      <c r="Y19" s="3835"/>
      <c r="Z19" s="1162" t="str">
        <f>Q19</f>
        <v>办公集聚程度</v>
      </c>
      <c r="AA19" s="1159">
        <f t="shared" si="3"/>
        <v>1</v>
      </c>
      <c r="AB19" s="1159">
        <f t="shared" si="4"/>
        <v>1</v>
      </c>
      <c r="AC19" s="1159">
        <f t="shared" si="5"/>
        <v>1</v>
      </c>
    </row>
    <row r="20" spans="1:29" ht="15">
      <c r="A20" s="242"/>
      <c r="B20" s="269"/>
      <c r="C20" s="2561"/>
      <c r="D20" s="2562"/>
      <c r="E20" s="2563"/>
      <c r="F20" s="2562"/>
      <c r="G20" s="2563"/>
      <c r="H20" s="2562"/>
      <c r="I20" s="2561"/>
      <c r="J20" s="2562"/>
      <c r="K20" s="2544"/>
      <c r="L20" s="2108"/>
      <c r="M20" s="2102"/>
      <c r="N20" s="2102"/>
      <c r="O20" s="2160"/>
      <c r="P20" s="3835"/>
      <c r="Q20" s="1158"/>
      <c r="R20" s="518"/>
      <c r="S20" s="519"/>
      <c r="T20" s="518"/>
      <c r="U20" s="519"/>
      <c r="V20" s="518"/>
      <c r="W20" s="519"/>
      <c r="X20" s="1161"/>
      <c r="Y20" s="3835"/>
      <c r="Z20" s="1162"/>
      <c r="AA20" s="1159">
        <v>1</v>
      </c>
      <c r="AB20" s="1159">
        <v>1</v>
      </c>
      <c r="AC20" s="1159">
        <v>1</v>
      </c>
    </row>
    <row r="21" spans="1:29" ht="80.25" customHeight="1">
      <c r="A21" s="242"/>
      <c r="B21" s="264" t="s">
        <v>2287</v>
      </c>
      <c r="C21" s="2565" t="str">
        <f>估价对象房地状况!C18</f>
        <v>周边有规划道路，周边路网密集程度一般，道路通达程度一般，周边有306路、586路、640路、641路、847路、854路等公交线路经过，综合评价交通便捷度一般</v>
      </c>
      <c r="D21" s="2564">
        <v>100</v>
      </c>
      <c r="E21" s="2566"/>
      <c r="F21" s="2567">
        <f>SUMIF(93:93,E22,94:94)-SUMIF(93:93,C22,94:94)+100</f>
        <v>100</v>
      </c>
      <c r="G21" s="2566" t="s">
        <v>3580</v>
      </c>
      <c r="H21" s="2564">
        <f>SUMIF(93:93,G22,94:94)-SUMIF(93:93,C22,94:94)+100</f>
        <v>100</v>
      </c>
      <c r="I21" s="2568" t="s">
        <v>3537</v>
      </c>
      <c r="J21" s="2564">
        <f>SUMIF(93:93,I22,94:94)-SUMIF(93:93,C22,94:94)+100</f>
        <v>100</v>
      </c>
      <c r="K21" s="2547">
        <v>1</v>
      </c>
      <c r="L21" s="2108"/>
      <c r="M21" s="2102"/>
      <c r="N21" s="2102"/>
      <c r="O21" s="2160"/>
      <c r="P21" s="3835"/>
      <c r="Q21" s="1158" t="str">
        <f>B21</f>
        <v>交通便捷度</v>
      </c>
      <c r="R21" s="518" t="s">
        <v>17</v>
      </c>
      <c r="S21" s="519">
        <f>F21</f>
        <v>100</v>
      </c>
      <c r="T21" s="518" t="s">
        <v>17</v>
      </c>
      <c r="U21" s="519">
        <f>H21</f>
        <v>100</v>
      </c>
      <c r="V21" s="518" t="s">
        <v>17</v>
      </c>
      <c r="W21" s="519">
        <f>J21</f>
        <v>100</v>
      </c>
      <c r="X21" s="1161"/>
      <c r="Y21" s="3835"/>
      <c r="Z21" s="1162" t="str">
        <f>Q21</f>
        <v>交通便捷度</v>
      </c>
      <c r="AA21" s="1159">
        <f t="shared" si="3"/>
        <v>1</v>
      </c>
      <c r="AB21" s="1159">
        <f t="shared" si="4"/>
        <v>1</v>
      </c>
      <c r="AC21" s="1159">
        <f t="shared" si="5"/>
        <v>1</v>
      </c>
    </row>
    <row r="22" spans="1:29" ht="15">
      <c r="A22" s="242"/>
      <c r="B22" s="956"/>
      <c r="C22" s="2561" t="s">
        <v>3529</v>
      </c>
      <c r="D22" s="2564"/>
      <c r="E22" s="2561" t="s">
        <v>3529</v>
      </c>
      <c r="F22" s="2562"/>
      <c r="G22" s="2561" t="s">
        <v>3529</v>
      </c>
      <c r="H22" s="2562"/>
      <c r="I22" s="2561" t="s">
        <v>3529</v>
      </c>
      <c r="J22" s="2562"/>
      <c r="K22" s="2544"/>
      <c r="L22" s="2108"/>
      <c r="M22" s="2102"/>
      <c r="N22" s="2102"/>
      <c r="O22" s="2160"/>
      <c r="P22" s="3835"/>
      <c r="Q22" s="1158"/>
      <c r="R22" s="518"/>
      <c r="S22" s="519"/>
      <c r="T22" s="518"/>
      <c r="U22" s="519"/>
      <c r="V22" s="518"/>
      <c r="W22" s="519"/>
      <c r="X22" s="1161"/>
      <c r="Y22" s="3835"/>
      <c r="Z22" s="1162"/>
      <c r="AA22" s="1159">
        <v>1</v>
      </c>
      <c r="AB22" s="1159">
        <v>1</v>
      </c>
      <c r="AC22" s="1159">
        <v>1</v>
      </c>
    </row>
    <row r="23" spans="1:29" ht="28.8">
      <c r="A23" s="220"/>
      <c r="B23" s="264" t="s">
        <v>2326</v>
      </c>
      <c r="C23" s="2573">
        <f>估价对象房地状况!C19</f>
        <v>0</v>
      </c>
      <c r="D23" s="2567">
        <v>100</v>
      </c>
      <c r="E23" s="2566"/>
      <c r="F23" s="2567">
        <f>SUMIF(95:95,E24,96:96)-SUMIF(95:95,C24,96:96)+100</f>
        <v>100</v>
      </c>
      <c r="G23" s="2568"/>
      <c r="H23" s="2567">
        <f>SUMIF(95:95,G24,96:96)-SUMIF(95:95,C24,96:96)+100</f>
        <v>100</v>
      </c>
      <c r="I23" s="2568"/>
      <c r="J23" s="2567">
        <f>SUMIF(95:95,I24,96:96)-SUMIF(95:95,C24,96:96)+100</f>
        <v>100</v>
      </c>
      <c r="K23" s="2547">
        <v>1</v>
      </c>
      <c r="L23" s="2108"/>
      <c r="M23" s="2102"/>
      <c r="N23" s="2102"/>
      <c r="O23" s="2160"/>
      <c r="P23" s="3835"/>
      <c r="Q23" s="1158" t="str">
        <f t="shared" ref="Q23:Q37" si="8">B23</f>
        <v>区域土地利用方向</v>
      </c>
      <c r="R23" s="518" t="s">
        <v>17</v>
      </c>
      <c r="S23" s="519">
        <f>F23</f>
        <v>100</v>
      </c>
      <c r="T23" s="518" t="s">
        <v>17</v>
      </c>
      <c r="U23" s="519">
        <f>H23</f>
        <v>100</v>
      </c>
      <c r="V23" s="518" t="s">
        <v>17</v>
      </c>
      <c r="W23" s="519">
        <f>J23</f>
        <v>100</v>
      </c>
      <c r="X23" s="1161"/>
      <c r="Y23" s="3835"/>
      <c r="Z23" s="1162" t="str">
        <f>Q23</f>
        <v>区域土地利用方向</v>
      </c>
      <c r="AA23" s="1159">
        <f t="shared" si="3"/>
        <v>1</v>
      </c>
      <c r="AB23" s="1159">
        <f t="shared" si="4"/>
        <v>1</v>
      </c>
      <c r="AC23" s="1159">
        <f t="shared" si="5"/>
        <v>1</v>
      </c>
    </row>
    <row r="24" spans="1:29" ht="15">
      <c r="A24" s="220"/>
      <c r="B24" s="269"/>
      <c r="C24" s="2574" t="s">
        <v>3530</v>
      </c>
      <c r="D24" s="2562"/>
      <c r="E24" s="2574" t="s">
        <v>3530</v>
      </c>
      <c r="F24" s="2562"/>
      <c r="G24" s="2574" t="s">
        <v>3530</v>
      </c>
      <c r="H24" s="2562"/>
      <c r="I24" s="2574" t="s">
        <v>3530</v>
      </c>
      <c r="J24" s="2562"/>
      <c r="K24" s="2575"/>
      <c r="L24" s="2108"/>
      <c r="M24" s="2102"/>
      <c r="N24" s="2102"/>
      <c r="O24" s="2160"/>
      <c r="P24" s="3835"/>
      <c r="Q24" s="1158"/>
      <c r="R24" s="518"/>
      <c r="S24" s="519"/>
      <c r="T24" s="518"/>
      <c r="U24" s="519"/>
      <c r="V24" s="518"/>
      <c r="W24" s="519"/>
      <c r="X24" s="1161"/>
      <c r="Y24" s="3835"/>
      <c r="Z24" s="1162"/>
      <c r="AA24" s="1159"/>
      <c r="AB24" s="1159"/>
      <c r="AC24" s="1159"/>
    </row>
    <row r="25" spans="1:29" ht="60.75" customHeight="1">
      <c r="A25" s="220"/>
      <c r="B25" s="956" t="s">
        <v>2327</v>
      </c>
      <c r="C25" s="2565" t="str">
        <f>估价对象房地状况!C20</f>
        <v>所处区域有温榆河、旧河湾等，自然环境较好；区域内有民航博物馆等，人文环境一般；综合评价自然及人文环境较好</v>
      </c>
      <c r="D25" s="2564">
        <v>100</v>
      </c>
      <c r="E25" s="2566"/>
      <c r="F25" s="2564">
        <f>SUMIF(97:97,E26,98:98)-SUMIF(97:97,C26,98:98)+100</f>
        <v>100</v>
      </c>
      <c r="G25" s="2576" t="s">
        <v>3582</v>
      </c>
      <c r="H25" s="2564">
        <f>SUMIF(97:97,G26,98:98)-SUMIF(97:97,C26,98:98)+100</f>
        <v>100</v>
      </c>
      <c r="I25" s="2568" t="s">
        <v>3583</v>
      </c>
      <c r="J25" s="2564">
        <f>SUMIF(97:97,I26,98:98)-SUMIF(97:97,C26,98:98)+100</f>
        <v>100</v>
      </c>
      <c r="K25" s="2547">
        <v>1</v>
      </c>
      <c r="L25" s="2108"/>
      <c r="M25" s="2102"/>
      <c r="N25" s="2102"/>
      <c r="O25" s="2160"/>
      <c r="P25" s="3835"/>
      <c r="Q25" s="1158" t="str">
        <f t="shared" si="8"/>
        <v>自然及人文环境状况</v>
      </c>
      <c r="R25" s="518" t="s">
        <v>17</v>
      </c>
      <c r="S25" s="519">
        <f>F25</f>
        <v>100</v>
      </c>
      <c r="T25" s="518" t="s">
        <v>17</v>
      </c>
      <c r="U25" s="519">
        <f>H25</f>
        <v>100</v>
      </c>
      <c r="V25" s="518" t="s">
        <v>17</v>
      </c>
      <c r="W25" s="519">
        <f>J25</f>
        <v>100</v>
      </c>
      <c r="X25" s="1161"/>
      <c r="Y25" s="3835"/>
      <c r="Z25" s="1162" t="str">
        <f>Q25</f>
        <v>自然及人文环境状况</v>
      </c>
      <c r="AA25" s="1159">
        <f t="shared" si="3"/>
        <v>1</v>
      </c>
      <c r="AB25" s="1159">
        <f t="shared" si="4"/>
        <v>1</v>
      </c>
      <c r="AC25" s="1159">
        <f t="shared" si="5"/>
        <v>1</v>
      </c>
    </row>
    <row r="26" spans="1:29" ht="15">
      <c r="A26" s="220"/>
      <c r="B26" s="269"/>
      <c r="C26" s="2561" t="s">
        <v>3530</v>
      </c>
      <c r="D26" s="2562"/>
      <c r="E26" s="2561" t="s">
        <v>3530</v>
      </c>
      <c r="F26" s="2562"/>
      <c r="G26" s="2563" t="s">
        <v>3530</v>
      </c>
      <c r="H26" s="2562"/>
      <c r="I26" s="2563" t="s">
        <v>3530</v>
      </c>
      <c r="J26" s="2562"/>
      <c r="K26" s="2544"/>
      <c r="L26" s="2108"/>
      <c r="M26" s="2102"/>
      <c r="N26" s="2102"/>
      <c r="O26" s="2160"/>
      <c r="P26" s="3835"/>
      <c r="Q26" s="1158"/>
      <c r="R26" s="518"/>
      <c r="S26" s="519"/>
      <c r="T26" s="518"/>
      <c r="U26" s="519"/>
      <c r="V26" s="518"/>
      <c r="W26" s="519"/>
      <c r="X26" s="1161"/>
      <c r="Y26" s="3835"/>
      <c r="Z26" s="1162"/>
      <c r="AA26" s="1159">
        <v>1</v>
      </c>
      <c r="AB26" s="1159">
        <v>1</v>
      </c>
      <c r="AC26" s="1159">
        <v>1</v>
      </c>
    </row>
    <row r="27" spans="1:29" s="50" customFormat="1" ht="145.5" customHeight="1">
      <c r="A27" s="441"/>
      <c r="B27" s="956" t="s">
        <v>2232</v>
      </c>
      <c r="C27" s="2565"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4">
        <v>100</v>
      </c>
      <c r="E27" s="2566"/>
      <c r="F27" s="2564">
        <f>SUMIF(99:99,E28,100:100)-SUMIF(99:99,C28,100:100)+100</f>
        <v>100</v>
      </c>
      <c r="G27" s="2566"/>
      <c r="H27" s="2564">
        <f>SUMIF(99:99,G28,100:100)-SUMIF(99:99,C28,100:100)+100</f>
        <v>100</v>
      </c>
      <c r="I27" s="2568"/>
      <c r="J27" s="2564">
        <f>SUMIF(99:99,I28,100:100)-SUMIF(99:99,C28,100:100)+100</f>
        <v>100</v>
      </c>
      <c r="K27" s="2547">
        <v>1</v>
      </c>
      <c r="L27" s="2103"/>
      <c r="M27" s="2104"/>
      <c r="N27" s="2104"/>
      <c r="O27" s="2158"/>
      <c r="P27" s="3835"/>
      <c r="Q27" s="1150" t="str">
        <f t="shared" si="8"/>
        <v>公共配套设施</v>
      </c>
      <c r="R27" s="514" t="s">
        <v>17</v>
      </c>
      <c r="S27" s="515">
        <f>F27</f>
        <v>100</v>
      </c>
      <c r="T27" s="514" t="s">
        <v>17</v>
      </c>
      <c r="U27" s="515">
        <f>H27</f>
        <v>100</v>
      </c>
      <c r="V27" s="514" t="s">
        <v>17</v>
      </c>
      <c r="W27" s="515">
        <f>J27</f>
        <v>100</v>
      </c>
      <c r="X27" s="516"/>
      <c r="Y27" s="3835"/>
      <c r="Z27" s="46" t="str">
        <f>Q27</f>
        <v>公共配套设施</v>
      </c>
      <c r="AA27" s="1159">
        <f>D27/F27</f>
        <v>1</v>
      </c>
      <c r="AB27" s="1159">
        <f>D27/H27</f>
        <v>1</v>
      </c>
      <c r="AC27" s="1159">
        <f>D27/J27</f>
        <v>1</v>
      </c>
    </row>
    <row r="28" spans="1:29" s="50" customFormat="1" ht="15">
      <c r="A28" s="441"/>
      <c r="B28" s="269"/>
      <c r="C28" s="2577" t="s">
        <v>3529</v>
      </c>
      <c r="D28" s="2562"/>
      <c r="E28" s="2577" t="s">
        <v>3529</v>
      </c>
      <c r="F28" s="2562"/>
      <c r="G28" s="2577" t="s">
        <v>3529</v>
      </c>
      <c r="H28" s="2562"/>
      <c r="I28" s="2577" t="s">
        <v>3529</v>
      </c>
      <c r="J28" s="2562"/>
      <c r="K28" s="2544"/>
      <c r="L28" s="2103"/>
      <c r="M28" s="2104"/>
      <c r="N28" s="2104"/>
      <c r="O28" s="2158"/>
      <c r="P28" s="3835"/>
      <c r="Q28" s="1150"/>
      <c r="R28" s="514"/>
      <c r="S28" s="515"/>
      <c r="T28" s="514"/>
      <c r="U28" s="515"/>
      <c r="V28" s="514"/>
      <c r="W28" s="515"/>
      <c r="X28" s="516"/>
      <c r="Y28" s="3835"/>
      <c r="Z28" s="46"/>
      <c r="AA28" s="1159">
        <v>1</v>
      </c>
      <c r="AB28" s="1159">
        <v>1</v>
      </c>
      <c r="AC28" s="1159">
        <v>1</v>
      </c>
    </row>
    <row r="29" spans="1:29" s="50" customFormat="1" ht="27.6">
      <c r="A29" s="441"/>
      <c r="B29" s="956" t="s">
        <v>2233</v>
      </c>
      <c r="C29" s="2565" t="str">
        <f>估价对象房地状况!C22</f>
        <v>估价对象所在区域基础设施水平</v>
      </c>
      <c r="D29" s="2564">
        <v>100</v>
      </c>
      <c r="E29" s="2566"/>
      <c r="F29" s="2564">
        <f>SUMIF(101:101,E30,102:102)-SUMIF(101:101,C30,102:102)+100</f>
        <v>100</v>
      </c>
      <c r="G29" s="2566"/>
      <c r="H29" s="2564">
        <f>SUMIF(101:101,G30,102:102)-SUMIF(101:101,C30,102:102)+100</f>
        <v>100</v>
      </c>
      <c r="I29" s="2568"/>
      <c r="J29" s="2564">
        <f>SUMIF(101:101,I30,102:102)-SUMIF(101:101,C30,102:102)+100</f>
        <v>100</v>
      </c>
      <c r="K29" s="2547">
        <v>1</v>
      </c>
      <c r="L29" s="2103"/>
      <c r="M29" s="2104"/>
      <c r="N29" s="2104"/>
      <c r="O29" s="2158"/>
      <c r="P29" s="3835"/>
      <c r="Q29" s="1150" t="str">
        <f t="shared" ref="Q29" si="9">B29</f>
        <v>基础设施水平</v>
      </c>
      <c r="R29" s="514" t="s">
        <v>17</v>
      </c>
      <c r="S29" s="515">
        <f>F29</f>
        <v>100</v>
      </c>
      <c r="T29" s="514" t="s">
        <v>17</v>
      </c>
      <c r="U29" s="515">
        <f>H29</f>
        <v>100</v>
      </c>
      <c r="V29" s="514" t="s">
        <v>17</v>
      </c>
      <c r="W29" s="515">
        <f>J29</f>
        <v>100</v>
      </c>
      <c r="X29" s="516"/>
      <c r="Y29" s="3835"/>
      <c r="Z29" s="46" t="str">
        <f>Q29</f>
        <v>基础设施水平</v>
      </c>
      <c r="AA29" s="1159">
        <f>D29/F29</f>
        <v>1</v>
      </c>
      <c r="AB29" s="1159">
        <f>D29/H29</f>
        <v>1</v>
      </c>
      <c r="AC29" s="1159">
        <f>D29/J29</f>
        <v>1</v>
      </c>
    </row>
    <row r="30" spans="1:29" s="50" customFormat="1" ht="15">
      <c r="A30" s="441"/>
      <c r="B30" s="269"/>
      <c r="C30" s="2577" t="s">
        <v>3531</v>
      </c>
      <c r="D30" s="2562"/>
      <c r="E30" s="2577" t="s">
        <v>3531</v>
      </c>
      <c r="F30" s="2562"/>
      <c r="G30" s="2577" t="s">
        <v>3531</v>
      </c>
      <c r="H30" s="2562"/>
      <c r="I30" s="2577" t="s">
        <v>3531</v>
      </c>
      <c r="J30" s="2562"/>
      <c r="K30" s="2544"/>
      <c r="L30" s="2103"/>
      <c r="M30" s="2104"/>
      <c r="N30" s="2104"/>
      <c r="O30" s="2158"/>
      <c r="P30" s="3835"/>
      <c r="Q30" s="1150"/>
      <c r="R30" s="514"/>
      <c r="S30" s="515"/>
      <c r="T30" s="514"/>
      <c r="U30" s="515"/>
      <c r="V30" s="514"/>
      <c r="W30" s="515"/>
      <c r="X30" s="516"/>
      <c r="Y30" s="3835"/>
      <c r="Z30" s="46"/>
      <c r="AA30" s="1159">
        <v>1</v>
      </c>
      <c r="AB30" s="1159">
        <v>1</v>
      </c>
      <c r="AC30" s="1159">
        <v>1</v>
      </c>
    </row>
    <row r="31" spans="1:29" ht="15.6" thickBot="1">
      <c r="A31" s="242"/>
      <c r="B31" s="269" t="s">
        <v>2234</v>
      </c>
      <c r="C31" s="2574"/>
      <c r="D31" s="2551">
        <v>100</v>
      </c>
      <c r="E31" s="2578"/>
      <c r="F31" s="2551">
        <f>SUMIF(103:103,E31,104:104)-SUMIF(103:103,C31,104:104)+100</f>
        <v>100</v>
      </c>
      <c r="G31" s="2578"/>
      <c r="H31" s="2551">
        <f>SUMIF(103:103,G31,104:104)-SUMIF(103:103,C31,104:104)+100</f>
        <v>100</v>
      </c>
      <c r="I31" s="2578"/>
      <c r="J31" s="2551">
        <f>SUMIF(103:103,I31,104:104)-SUMIF(103:103,C31,104:104)+100</f>
        <v>100</v>
      </c>
      <c r="K31" s="2547"/>
      <c r="L31" s="2108"/>
      <c r="M31" s="2102"/>
      <c r="N31" s="2102"/>
      <c r="O31" s="2160"/>
      <c r="P31" s="3835"/>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35"/>
      <c r="Z31" s="1162" t="str">
        <f t="shared" ref="Z31:Z45" si="13">Q31</f>
        <v>临街状况</v>
      </c>
      <c r="AA31" s="1159">
        <f t="shared" si="3"/>
        <v>1</v>
      </c>
      <c r="AB31" s="1159">
        <f t="shared" si="4"/>
        <v>1</v>
      </c>
      <c r="AC31" s="1159">
        <f t="shared" si="5"/>
        <v>1</v>
      </c>
    </row>
    <row r="32" spans="1:29" ht="28.8" hidden="1">
      <c r="A32" s="242"/>
      <c r="B32" s="956" t="s">
        <v>2269</v>
      </c>
      <c r="C32" s="2568"/>
      <c r="D32" s="2564">
        <v>100</v>
      </c>
      <c r="E32" s="2566"/>
      <c r="F32" s="2564">
        <f>SUMIF(105:105,E33,106:106)-SUMIF(105:105,C33,106:106)+100</f>
        <v>100</v>
      </c>
      <c r="G32" s="2566"/>
      <c r="H32" s="2564">
        <f>SUMIF(105:105,G33,106:106)-SUMIF(105:105,C33,106:106)+100</f>
        <v>100</v>
      </c>
      <c r="I32" s="2568"/>
      <c r="J32" s="2564">
        <f>SUMIF(105:105,I33,106:106)-SUMIF(105:105,C33,106:106)+100</f>
        <v>100</v>
      </c>
      <c r="K32" s="2547"/>
      <c r="L32" s="2108"/>
      <c r="M32" s="2102"/>
      <c r="N32" s="2102"/>
      <c r="O32" s="2160"/>
      <c r="P32" s="3835"/>
      <c r="Q32" s="1158" t="str">
        <f t="shared" si="8"/>
        <v>毗邻道路的类型与等级</v>
      </c>
      <c r="R32" s="518" t="s">
        <v>17</v>
      </c>
      <c r="S32" s="519">
        <f t="shared" si="10"/>
        <v>100</v>
      </c>
      <c r="T32" s="518" t="s">
        <v>17</v>
      </c>
      <c r="U32" s="519">
        <f t="shared" si="11"/>
        <v>100</v>
      </c>
      <c r="V32" s="518" t="s">
        <v>17</v>
      </c>
      <c r="W32" s="519">
        <f t="shared" si="12"/>
        <v>100</v>
      </c>
      <c r="X32" s="1161"/>
      <c r="Y32" s="3835"/>
      <c r="Z32" s="1162" t="str">
        <f t="shared" si="13"/>
        <v>毗邻道路的类型与等级</v>
      </c>
      <c r="AA32" s="1159">
        <f t="shared" si="3"/>
        <v>1</v>
      </c>
      <c r="AB32" s="1159">
        <f t="shared" si="4"/>
        <v>1</v>
      </c>
      <c r="AC32" s="1159">
        <f t="shared" si="5"/>
        <v>1</v>
      </c>
    </row>
    <row r="33" spans="1:29" ht="15" hidden="1">
      <c r="A33" s="242"/>
      <c r="B33" s="269"/>
      <c r="C33" s="2561"/>
      <c r="D33" s="2562"/>
      <c r="E33" s="2563"/>
      <c r="F33" s="2562"/>
      <c r="G33" s="2563"/>
      <c r="H33" s="2562"/>
      <c r="I33" s="2561"/>
      <c r="J33" s="2562"/>
      <c r="K33" s="2579"/>
      <c r="L33" s="2108"/>
      <c r="M33" s="2102"/>
      <c r="N33" s="2102"/>
      <c r="O33" s="2160"/>
      <c r="P33" s="3835"/>
      <c r="Q33" s="1158"/>
      <c r="R33" s="518"/>
      <c r="S33" s="519"/>
      <c r="T33" s="518"/>
      <c r="U33" s="519"/>
      <c r="V33" s="518"/>
      <c r="W33" s="519"/>
      <c r="X33" s="1161"/>
      <c r="Y33" s="3835"/>
      <c r="Z33" s="1162"/>
      <c r="AA33" s="1159">
        <v>1</v>
      </c>
      <c r="AB33" s="1159">
        <v>1</v>
      </c>
      <c r="AC33" s="1159">
        <v>1</v>
      </c>
    </row>
    <row r="34" spans="1:29" ht="15" hidden="1">
      <c r="A34" s="242"/>
      <c r="B34" s="237" t="s">
        <v>2328</v>
      </c>
      <c r="C34" s="2574"/>
      <c r="D34" s="2551">
        <v>100</v>
      </c>
      <c r="E34" s="2578"/>
      <c r="F34" s="2551">
        <f>SUMIF(107:107,E34,108:108)-SUMIF(107:107,C34,108:108)+100</f>
        <v>100</v>
      </c>
      <c r="G34" s="2578"/>
      <c r="H34" s="2551">
        <f>SUMIF(107:107,G34,108:108)-SUMIF(107:107,C34,108:108)+100</f>
        <v>100</v>
      </c>
      <c r="I34" s="2574"/>
      <c r="J34" s="2551">
        <f>SUMIF(107:107,I34,108:108)-SUMIF(107:107,C34,108:108)+100</f>
        <v>100</v>
      </c>
      <c r="K34" s="2580"/>
      <c r="L34" s="2108"/>
      <c r="M34" s="2102"/>
      <c r="N34" s="2102"/>
      <c r="O34" s="2160"/>
      <c r="P34" s="3835"/>
      <c r="Q34" s="1158" t="str">
        <f t="shared" si="8"/>
        <v>土地级别</v>
      </c>
      <c r="R34" s="518" t="s">
        <v>17</v>
      </c>
      <c r="S34" s="519">
        <f t="shared" si="10"/>
        <v>100</v>
      </c>
      <c r="T34" s="518" t="s">
        <v>17</v>
      </c>
      <c r="U34" s="519">
        <f t="shared" si="11"/>
        <v>100</v>
      </c>
      <c r="V34" s="518" t="s">
        <v>17</v>
      </c>
      <c r="W34" s="519">
        <f t="shared" si="12"/>
        <v>100</v>
      </c>
      <c r="X34" s="1161"/>
      <c r="Y34" s="3835"/>
      <c r="Z34" s="1162" t="str">
        <f t="shared" si="13"/>
        <v>土地级别</v>
      </c>
      <c r="AA34" s="1159">
        <f t="shared" si="3"/>
        <v>1</v>
      </c>
      <c r="AB34" s="1159">
        <f t="shared" si="4"/>
        <v>1</v>
      </c>
      <c r="AC34" s="1159">
        <f t="shared" si="5"/>
        <v>1</v>
      </c>
    </row>
    <row r="35" spans="1:29" ht="15" hidden="1">
      <c r="A35" s="220"/>
      <c r="B35" s="958">
        <v>111</v>
      </c>
      <c r="C35" s="2555"/>
      <c r="D35" s="2551">
        <v>100</v>
      </c>
      <c r="E35" s="2581"/>
      <c r="F35" s="2551">
        <f>SUMIF(109:109,E35,110:110)-SUMIF(109:109,C35,110:110)+100</f>
        <v>100</v>
      </c>
      <c r="G35" s="2581"/>
      <c r="H35" s="2551">
        <f>SUMIF(109:109,G35,110:110)-SUMIF(109:109,C35,110:110)+100</f>
        <v>100</v>
      </c>
      <c r="I35" s="2555"/>
      <c r="J35" s="2551">
        <f>SUMIF(109:109,I35,110:110)-SUMIF(109:109,C35,110:110)+100</f>
        <v>100</v>
      </c>
      <c r="K35" s="2579"/>
      <c r="L35" s="2108"/>
      <c r="M35" s="2102"/>
      <c r="N35" s="2102"/>
      <c r="O35" s="2160"/>
      <c r="P35" s="3835"/>
      <c r="Q35" s="1158">
        <f t="shared" si="8"/>
        <v>111</v>
      </c>
      <c r="R35" s="518" t="s">
        <v>17</v>
      </c>
      <c r="S35" s="519">
        <f t="shared" si="10"/>
        <v>100</v>
      </c>
      <c r="T35" s="518" t="s">
        <v>17</v>
      </c>
      <c r="U35" s="519">
        <f t="shared" si="11"/>
        <v>100</v>
      </c>
      <c r="V35" s="518" t="s">
        <v>17</v>
      </c>
      <c r="W35" s="519">
        <f t="shared" si="12"/>
        <v>100</v>
      </c>
      <c r="X35" s="1161"/>
      <c r="Y35" s="3835"/>
      <c r="Z35" s="1162">
        <f t="shared" si="13"/>
        <v>111</v>
      </c>
      <c r="AA35" s="1159">
        <f t="shared" si="3"/>
        <v>1</v>
      </c>
      <c r="AB35" s="1159">
        <f t="shared" si="4"/>
        <v>1</v>
      </c>
      <c r="AC35" s="1159">
        <f t="shared" si="5"/>
        <v>1</v>
      </c>
    </row>
    <row r="36" spans="1:29" ht="15" hidden="1">
      <c r="A36" s="448"/>
      <c r="B36" s="959">
        <v>111</v>
      </c>
      <c r="C36" s="2555"/>
      <c r="D36" s="2551">
        <v>100</v>
      </c>
      <c r="E36" s="2581"/>
      <c r="F36" s="2551">
        <f>SUMIF(111:111,E37,112:112)-SUMIF(111:111,C37,112:112)+100</f>
        <v>100</v>
      </c>
      <c r="G36" s="2581"/>
      <c r="H36" s="2551">
        <f>SUMIF(111:111,G36,112:112)-SUMIF(111:111,C36,112:112)+100</f>
        <v>100</v>
      </c>
      <c r="I36" s="2555"/>
      <c r="J36" s="2551">
        <f>SUMIF(111:111,I36,112:112)-SUMIF(111:111,C36,112:112)+100</f>
        <v>100</v>
      </c>
      <c r="K36" s="2579"/>
      <c r="L36" s="2108"/>
      <c r="M36" s="2102"/>
      <c r="N36" s="2102"/>
      <c r="O36" s="2160"/>
      <c r="P36" s="3836" t="s">
        <v>2143</v>
      </c>
      <c r="Q36" s="1158">
        <f t="shared" si="8"/>
        <v>111</v>
      </c>
      <c r="R36" s="518" t="s">
        <v>17</v>
      </c>
      <c r="S36" s="519">
        <f t="shared" si="10"/>
        <v>100</v>
      </c>
      <c r="T36" s="518" t="s">
        <v>17</v>
      </c>
      <c r="U36" s="519">
        <f t="shared" si="11"/>
        <v>100</v>
      </c>
      <c r="V36" s="518" t="s">
        <v>17</v>
      </c>
      <c r="W36" s="519">
        <f t="shared" si="12"/>
        <v>100</v>
      </c>
      <c r="X36" s="1161"/>
      <c r="Y36" s="3837" t="s">
        <v>2143</v>
      </c>
      <c r="Z36" s="1162">
        <f t="shared" si="13"/>
        <v>111</v>
      </c>
      <c r="AA36" s="1159">
        <f t="shared" si="3"/>
        <v>1</v>
      </c>
      <c r="AB36" s="1159">
        <f t="shared" si="4"/>
        <v>1</v>
      </c>
      <c r="AC36" s="1159">
        <f t="shared" si="5"/>
        <v>1</v>
      </c>
    </row>
    <row r="37" spans="1:29" s="282" customFormat="1" ht="15.6" hidden="1" thickBot="1">
      <c r="A37" s="449"/>
      <c r="B37" s="960">
        <v>111</v>
      </c>
      <c r="C37" s="2582"/>
      <c r="D37" s="2583">
        <v>100</v>
      </c>
      <c r="E37" s="2584"/>
      <c r="F37" s="2553">
        <f>SUMIF(113:113,E37,114:114)-SUMIF(113:113,C37,114:114)+100</f>
        <v>100</v>
      </c>
      <c r="G37" s="2584"/>
      <c r="H37" s="2553">
        <f>SUMIF(113:113,G37,114:114)-SUMIF(113:113,C37,114:114)+100</f>
        <v>100</v>
      </c>
      <c r="I37" s="2582"/>
      <c r="J37" s="2553">
        <f>SUMIF(113:113,I37,114:114)-SUMIF(113:113,C37,114:114)+100</f>
        <v>100</v>
      </c>
      <c r="K37" s="2579"/>
      <c r="L37" s="2107"/>
      <c r="M37" s="2109"/>
      <c r="N37" s="2109"/>
      <c r="O37" s="2161"/>
      <c r="P37" s="3837"/>
      <c r="Q37" s="1158">
        <f t="shared" si="8"/>
        <v>111</v>
      </c>
      <c r="R37" s="521" t="s">
        <v>17</v>
      </c>
      <c r="S37" s="522">
        <f t="shared" si="10"/>
        <v>100</v>
      </c>
      <c r="T37" s="521" t="s">
        <v>17</v>
      </c>
      <c r="U37" s="522">
        <f t="shared" si="11"/>
        <v>100</v>
      </c>
      <c r="V37" s="521" t="s">
        <v>17</v>
      </c>
      <c r="W37" s="522">
        <f t="shared" si="12"/>
        <v>100</v>
      </c>
      <c r="X37" s="523"/>
      <c r="Y37" s="3837"/>
      <c r="Z37" s="524">
        <f t="shared" si="13"/>
        <v>111</v>
      </c>
      <c r="AA37" s="1159">
        <f t="shared" si="3"/>
        <v>1</v>
      </c>
      <c r="AB37" s="1159">
        <f t="shared" si="4"/>
        <v>1</v>
      </c>
      <c r="AC37" s="1159">
        <f t="shared" si="5"/>
        <v>1</v>
      </c>
    </row>
    <row r="38" spans="1:29" ht="15.6">
      <c r="A38" s="283" t="s">
        <v>2141</v>
      </c>
      <c r="B38" s="269" t="s">
        <v>2329</v>
      </c>
      <c r="C38" s="2585">
        <v>57008.47</v>
      </c>
      <c r="D38" s="2586">
        <v>100</v>
      </c>
      <c r="E38" s="2585">
        <f>土地案例!I19</f>
        <v>38953.300000000003</v>
      </c>
      <c r="F38" s="2586">
        <f>LOOKUP(E38,116:116,117:117)-LOOKUP(C38,116:116,117:117)+100</f>
        <v>100</v>
      </c>
      <c r="G38" s="2585">
        <f>土地案例!I7</f>
        <v>41146.67</v>
      </c>
      <c r="H38" s="2586">
        <f>LOOKUP(G38,116:116,117:117)-LOOKUP(C38,116:116,117:117)+100</f>
        <v>100</v>
      </c>
      <c r="I38" s="2585">
        <f>土地案例!I4</f>
        <v>40508.61</v>
      </c>
      <c r="J38" s="2586">
        <f>LOOKUP(I38,116:116,117:117)-LOOKUP(C38,116:116,117:117)+100</f>
        <v>100</v>
      </c>
      <c r="K38" s="2579"/>
      <c r="L38" s="2108"/>
      <c r="M38" s="2102"/>
      <c r="N38" s="2102"/>
      <c r="O38" s="2160"/>
      <c r="P38" s="3837"/>
      <c r="Q38" s="1158" t="str">
        <f>B38</f>
        <v>宗地面积</v>
      </c>
      <c r="R38" s="518" t="s">
        <v>17</v>
      </c>
      <c r="S38" s="519">
        <f t="shared" si="10"/>
        <v>100</v>
      </c>
      <c r="T38" s="518" t="s">
        <v>17</v>
      </c>
      <c r="U38" s="519">
        <f t="shared" si="11"/>
        <v>100</v>
      </c>
      <c r="V38" s="518" t="s">
        <v>17</v>
      </c>
      <c r="W38" s="519">
        <f t="shared" si="12"/>
        <v>100</v>
      </c>
      <c r="X38" s="1161"/>
      <c r="Y38" s="3837"/>
      <c r="Z38" s="1162" t="str">
        <f t="shared" si="13"/>
        <v>宗地面积</v>
      </c>
      <c r="AA38" s="1159">
        <f t="shared" si="3"/>
        <v>1</v>
      </c>
      <c r="AB38" s="1159">
        <f t="shared" si="4"/>
        <v>1</v>
      </c>
      <c r="AC38" s="1159">
        <f t="shared" si="5"/>
        <v>1</v>
      </c>
    </row>
    <row r="39" spans="1:29" ht="15">
      <c r="A39" s="283"/>
      <c r="B39" s="237" t="s">
        <v>2330</v>
      </c>
      <c r="C39" s="2587" t="s">
        <v>3532</v>
      </c>
      <c r="D39" s="2551">
        <v>100</v>
      </c>
      <c r="E39" s="2587" t="s">
        <v>3532</v>
      </c>
      <c r="F39" s="2551">
        <f>SUMIF(118:118,E39,119:119)-SUMIF(118:118,C39,119:119)+100</f>
        <v>100</v>
      </c>
      <c r="G39" s="2587" t="s">
        <v>3532</v>
      </c>
      <c r="H39" s="2551">
        <f>SUMIF(118:118,G39,119:119)-SUMIF(118:118,C39,119:119)+100</f>
        <v>100</v>
      </c>
      <c r="I39" s="2587" t="s">
        <v>3532</v>
      </c>
      <c r="J39" s="2551">
        <f>SUMIF(118:118,I39,119:119)-SUMIF(118:118,C39,119:119)+100</f>
        <v>100</v>
      </c>
      <c r="K39" s="2580">
        <v>1</v>
      </c>
      <c r="L39" s="2108"/>
      <c r="M39" s="2102"/>
      <c r="N39" s="2102"/>
      <c r="O39" s="2160"/>
      <c r="P39" s="3837"/>
      <c r="Q39" s="1158" t="str">
        <f t="shared" ref="Q39:Q45" si="14">B39</f>
        <v>宗地形状</v>
      </c>
      <c r="R39" s="518" t="s">
        <v>17</v>
      </c>
      <c r="S39" s="519">
        <f t="shared" si="10"/>
        <v>100</v>
      </c>
      <c r="T39" s="518" t="s">
        <v>17</v>
      </c>
      <c r="U39" s="519">
        <f t="shared" si="11"/>
        <v>100</v>
      </c>
      <c r="V39" s="518" t="s">
        <v>17</v>
      </c>
      <c r="W39" s="519">
        <f t="shared" si="12"/>
        <v>100</v>
      </c>
      <c r="X39" s="1161"/>
      <c r="Y39" s="3837"/>
      <c r="Z39" s="1162" t="str">
        <f t="shared" si="13"/>
        <v>宗地形状</v>
      </c>
      <c r="AA39" s="1159">
        <f t="shared" si="3"/>
        <v>1</v>
      </c>
      <c r="AB39" s="1159">
        <f t="shared" si="4"/>
        <v>1</v>
      </c>
      <c r="AC39" s="1159">
        <f t="shared" si="5"/>
        <v>1</v>
      </c>
    </row>
    <row r="40" spans="1:29" ht="15">
      <c r="A40" s="283"/>
      <c r="B40" s="237" t="s">
        <v>2331</v>
      </c>
      <c r="C40" s="2587"/>
      <c r="D40" s="2551">
        <v>100</v>
      </c>
      <c r="E40" s="2587"/>
      <c r="F40" s="2551">
        <f>SUMIF(120:120,E40,121:121)-SUMIF(120:120,C40,121:121)+100</f>
        <v>100</v>
      </c>
      <c r="G40" s="2587"/>
      <c r="H40" s="2551">
        <f>SUMIF(120:120,G40,121:121)-SUMIF(120:120,C40,121:121)+100</f>
        <v>100</v>
      </c>
      <c r="I40" s="2587"/>
      <c r="J40" s="2551">
        <f>SUMIF(120:120,I40,121:121)-SUMIF(120:120,C40,121:121)+100</f>
        <v>100</v>
      </c>
      <c r="K40" s="2580">
        <v>1</v>
      </c>
      <c r="L40" s="2108"/>
      <c r="M40" s="2102"/>
      <c r="N40" s="2102"/>
      <c r="O40" s="2160"/>
      <c r="P40" s="3837"/>
      <c r="Q40" s="1158" t="str">
        <f t="shared" si="14"/>
        <v>临街宽度及深度</v>
      </c>
      <c r="R40" s="518" t="s">
        <v>17</v>
      </c>
      <c r="S40" s="519">
        <f t="shared" si="10"/>
        <v>100</v>
      </c>
      <c r="T40" s="518" t="s">
        <v>17</v>
      </c>
      <c r="U40" s="519">
        <f t="shared" si="11"/>
        <v>100</v>
      </c>
      <c r="V40" s="518" t="s">
        <v>17</v>
      </c>
      <c r="W40" s="519">
        <f t="shared" si="12"/>
        <v>100</v>
      </c>
      <c r="X40" s="1161"/>
      <c r="Y40" s="3837"/>
      <c r="Z40" s="1162" t="str">
        <f t="shared" si="13"/>
        <v>临街宽度及深度</v>
      </c>
      <c r="AA40" s="1159">
        <f t="shared" si="3"/>
        <v>1</v>
      </c>
      <c r="AB40" s="1159">
        <f t="shared" si="4"/>
        <v>1</v>
      </c>
      <c r="AC40" s="1159">
        <f t="shared" si="5"/>
        <v>1</v>
      </c>
    </row>
    <row r="41" spans="1:29" s="50" customFormat="1" ht="15">
      <c r="A41" s="284"/>
      <c r="B41" s="237" t="s">
        <v>2332</v>
      </c>
      <c r="C41" s="2588" t="s">
        <v>3534</v>
      </c>
      <c r="D41" s="2542">
        <v>100</v>
      </c>
      <c r="E41" s="2588" t="s">
        <v>3533</v>
      </c>
      <c r="F41" s="2551">
        <f>SUMIF(122:122,E41,123:123)-SUMIF(122:122,C41,123:123)+100</f>
        <v>97</v>
      </c>
      <c r="G41" s="2588" t="s">
        <v>3535</v>
      </c>
      <c r="H41" s="2551">
        <f>SUMIF(122:122,G41,123:123)-SUMIF(122:122,C41,123:123)+100</f>
        <v>99</v>
      </c>
      <c r="I41" s="2588" t="s">
        <v>3536</v>
      </c>
      <c r="J41" s="2551">
        <f>SUMIF(122:122,I41,123:123)-SUMIF(122:122,C41,123:123)+100</f>
        <v>98</v>
      </c>
      <c r="K41" s="2580">
        <v>1</v>
      </c>
      <c r="L41" s="2103"/>
      <c r="M41" s="2104"/>
      <c r="N41" s="2104"/>
      <c r="O41" s="2158"/>
      <c r="P41" s="3837"/>
      <c r="Q41" s="1158" t="str">
        <f t="shared" si="14"/>
        <v>宗地开发程度</v>
      </c>
      <c r="R41" s="514" t="s">
        <v>17</v>
      </c>
      <c r="S41" s="515">
        <f t="shared" si="10"/>
        <v>97</v>
      </c>
      <c r="T41" s="514" t="s">
        <v>17</v>
      </c>
      <c r="U41" s="515">
        <f t="shared" si="11"/>
        <v>99</v>
      </c>
      <c r="V41" s="514" t="s">
        <v>17</v>
      </c>
      <c r="W41" s="515">
        <f t="shared" si="12"/>
        <v>98</v>
      </c>
      <c r="X41" s="516"/>
      <c r="Y41" s="3837"/>
      <c r="Z41" s="46" t="str">
        <f t="shared" si="13"/>
        <v>宗地开发程度</v>
      </c>
      <c r="AA41" s="517">
        <f t="shared" si="3"/>
        <v>1.0309278350515463</v>
      </c>
      <c r="AB41" s="517">
        <f t="shared" si="4"/>
        <v>1.0101010101010102</v>
      </c>
      <c r="AC41" s="517">
        <f t="shared" si="5"/>
        <v>1.0204081632653061</v>
      </c>
    </row>
    <row r="42" spans="1:29" ht="15">
      <c r="A42" s="283"/>
      <c r="B42" s="237" t="s">
        <v>2333</v>
      </c>
      <c r="C42" s="2587" t="s">
        <v>3530</v>
      </c>
      <c r="D42" s="2551">
        <v>100</v>
      </c>
      <c r="E42" s="2587" t="s">
        <v>3530</v>
      </c>
      <c r="F42" s="2551">
        <f>SUMIF(124:124,E42,125:125)-SUMIF(124:124,C42,125:125)+100</f>
        <v>100</v>
      </c>
      <c r="G42" s="2587" t="s">
        <v>3530</v>
      </c>
      <c r="H42" s="2551">
        <f>SUMIF(124:124,G42,125:125)-SUMIF(124:124,C42,125:125)+100</f>
        <v>100</v>
      </c>
      <c r="I42" s="2587" t="s">
        <v>3530</v>
      </c>
      <c r="J42" s="2551">
        <f>SUMIF(124:124,I42,125:125)-SUMIF(124:124,C42,125:125)+100</f>
        <v>100</v>
      </c>
      <c r="K42" s="2580">
        <v>1</v>
      </c>
      <c r="L42" s="2108"/>
      <c r="M42" s="2102"/>
      <c r="N42" s="2102"/>
      <c r="O42" s="2160"/>
      <c r="P42" s="3837" t="s">
        <v>2143</v>
      </c>
      <c r="Q42" s="1158" t="str">
        <f t="shared" si="14"/>
        <v>工程地质条件</v>
      </c>
      <c r="R42" s="518" t="s">
        <v>17</v>
      </c>
      <c r="S42" s="519">
        <f t="shared" si="10"/>
        <v>100</v>
      </c>
      <c r="T42" s="518" t="s">
        <v>17</v>
      </c>
      <c r="U42" s="519">
        <f t="shared" si="11"/>
        <v>100</v>
      </c>
      <c r="V42" s="518" t="s">
        <v>17</v>
      </c>
      <c r="W42" s="519">
        <f t="shared" si="12"/>
        <v>100</v>
      </c>
      <c r="X42" s="1161"/>
      <c r="Y42" s="3837" t="s">
        <v>2143</v>
      </c>
      <c r="Z42" s="1162" t="str">
        <f t="shared" si="13"/>
        <v>工程地质条件</v>
      </c>
      <c r="AA42" s="1159">
        <f t="shared" si="3"/>
        <v>1</v>
      </c>
      <c r="AB42" s="1159">
        <f t="shared" si="4"/>
        <v>1</v>
      </c>
      <c r="AC42" s="1159">
        <f t="shared" si="5"/>
        <v>1</v>
      </c>
    </row>
    <row r="43" spans="1:29" ht="15">
      <c r="A43" s="283"/>
      <c r="B43" s="3568">
        <v>111</v>
      </c>
      <c r="C43" s="2555"/>
      <c r="D43" s="2551">
        <v>100</v>
      </c>
      <c r="E43" s="2555"/>
      <c r="F43" s="2551">
        <f>SUMIF(126:126,E43,127:127)-SUMIF(126:126,C43,127:127)+100</f>
        <v>100</v>
      </c>
      <c r="G43" s="2555"/>
      <c r="H43" s="2551">
        <f>SUMIF(126:126,G43,127:127)-SUMIF(126:126,C43,127:127)+100</f>
        <v>100</v>
      </c>
      <c r="I43" s="2554"/>
      <c r="J43" s="2551">
        <f>SUMIF(126:126,I43,127:127)-SUMIF(126:126,C43,127:127)+100</f>
        <v>100</v>
      </c>
      <c r="K43" s="2579"/>
      <c r="L43" s="2108"/>
      <c r="M43" s="2102"/>
      <c r="N43" s="2102"/>
      <c r="O43" s="2160"/>
      <c r="P43" s="3837"/>
      <c r="Q43" s="1158">
        <f t="shared" si="14"/>
        <v>111</v>
      </c>
      <c r="R43" s="518" t="s">
        <v>17</v>
      </c>
      <c r="S43" s="519">
        <f t="shared" si="10"/>
        <v>100</v>
      </c>
      <c r="T43" s="518" t="s">
        <v>17</v>
      </c>
      <c r="U43" s="519">
        <f t="shared" si="11"/>
        <v>100</v>
      </c>
      <c r="V43" s="518" t="s">
        <v>17</v>
      </c>
      <c r="W43" s="519">
        <f t="shared" si="12"/>
        <v>100</v>
      </c>
      <c r="X43" s="1161"/>
      <c r="Y43" s="3837"/>
      <c r="Z43" s="1162">
        <f t="shared" si="13"/>
        <v>111</v>
      </c>
      <c r="AA43" s="1159">
        <f t="shared" si="3"/>
        <v>1</v>
      </c>
      <c r="AB43" s="1159">
        <f t="shared" si="4"/>
        <v>1</v>
      </c>
      <c r="AC43" s="1159">
        <f t="shared" si="5"/>
        <v>1</v>
      </c>
    </row>
    <row r="44" spans="1:29" ht="15">
      <c r="A44" s="283"/>
      <c r="B44" s="3568">
        <v>111</v>
      </c>
      <c r="C44" s="2555"/>
      <c r="D44" s="2551">
        <v>100</v>
      </c>
      <c r="E44" s="2555"/>
      <c r="F44" s="2551">
        <f>SUMIF(128:128,E44,129:129)-SUMIF(128:128,C44,129:129)+100</f>
        <v>100</v>
      </c>
      <c r="G44" s="2555"/>
      <c r="H44" s="2551">
        <f>SUMIF(128:128,G44,129:129)-SUMIF(128:128,C44,129:129)+100</f>
        <v>100</v>
      </c>
      <c r="I44" s="2554"/>
      <c r="J44" s="2551">
        <f>SUMIF(128:128,I44,129:129)-SUMIF(128:128,C44,129:129)+100</f>
        <v>100</v>
      </c>
      <c r="K44" s="2579"/>
      <c r="L44" s="2108"/>
      <c r="M44" s="2102"/>
      <c r="N44" s="2102"/>
      <c r="O44" s="2160"/>
      <c r="P44" s="3837"/>
      <c r="Q44" s="1158">
        <f t="shared" si="14"/>
        <v>111</v>
      </c>
      <c r="R44" s="518" t="s">
        <v>17</v>
      </c>
      <c r="S44" s="519">
        <f t="shared" si="10"/>
        <v>100</v>
      </c>
      <c r="T44" s="518" t="s">
        <v>17</v>
      </c>
      <c r="U44" s="519">
        <f t="shared" si="11"/>
        <v>100</v>
      </c>
      <c r="V44" s="518" t="s">
        <v>17</v>
      </c>
      <c r="W44" s="519">
        <f t="shared" si="12"/>
        <v>100</v>
      </c>
      <c r="X44" s="1161"/>
      <c r="Y44" s="3837"/>
      <c r="Z44" s="1162">
        <f t="shared" si="13"/>
        <v>111</v>
      </c>
      <c r="AA44" s="1159">
        <f t="shared" si="3"/>
        <v>1</v>
      </c>
      <c r="AB44" s="1159">
        <f t="shared" si="4"/>
        <v>1</v>
      </c>
      <c r="AC44" s="1159">
        <f t="shared" si="5"/>
        <v>1</v>
      </c>
    </row>
    <row r="45" spans="1:29" s="282" customFormat="1" ht="15.6" thickBot="1">
      <c r="A45" s="279"/>
      <c r="B45" s="3568">
        <v>111</v>
      </c>
      <c r="C45" s="2589"/>
      <c r="D45" s="2590">
        <v>100</v>
      </c>
      <c r="E45" s="2555"/>
      <c r="F45" s="2553">
        <f>SUMIF(130:130,E45,131:131)-SUMIF(130:130,C45,131:131)+100</f>
        <v>100</v>
      </c>
      <c r="G45" s="2555"/>
      <c r="H45" s="2553">
        <f>SUMIF(130:130,G45,131:131)-SUMIF(130:130,C45,131:131)+100</f>
        <v>100</v>
      </c>
      <c r="I45" s="2555"/>
      <c r="J45" s="2553">
        <f>SUMIF(130:130,I45,131:131)-SUMIF(130:130,C45,131:131)+100</f>
        <v>100</v>
      </c>
      <c r="K45" s="2591"/>
      <c r="L45" s="2107"/>
      <c r="M45" s="2109"/>
      <c r="N45" s="2109"/>
      <c r="O45" s="2161"/>
      <c r="P45" s="3837"/>
      <c r="Q45" s="1158">
        <f t="shared" si="14"/>
        <v>111</v>
      </c>
      <c r="R45" s="521" t="s">
        <v>17</v>
      </c>
      <c r="S45" s="522">
        <f t="shared" si="10"/>
        <v>100</v>
      </c>
      <c r="T45" s="521" t="s">
        <v>17</v>
      </c>
      <c r="U45" s="522">
        <f t="shared" si="11"/>
        <v>100</v>
      </c>
      <c r="V45" s="521" t="s">
        <v>17</v>
      </c>
      <c r="W45" s="522">
        <f t="shared" si="12"/>
        <v>100</v>
      </c>
      <c r="X45" s="523"/>
      <c r="Y45" s="3837"/>
      <c r="Z45" s="524">
        <f t="shared" si="13"/>
        <v>111</v>
      </c>
      <c r="AA45" s="1159">
        <f t="shared" si="3"/>
        <v>1</v>
      </c>
      <c r="AB45" s="1159">
        <f t="shared" si="4"/>
        <v>1</v>
      </c>
      <c r="AC45" s="1159">
        <f t="shared" si="5"/>
        <v>1</v>
      </c>
    </row>
    <row r="46" spans="1:29" ht="14.4">
      <c r="A46" s="288" t="s">
        <v>2298</v>
      </c>
      <c r="B46" s="1524" t="s">
        <v>2334</v>
      </c>
      <c r="C46" s="2592" t="s">
        <v>1</v>
      </c>
      <c r="D46" s="2593"/>
      <c r="E46" s="2594">
        <f>土地案例!AN19</f>
        <v>52983</v>
      </c>
      <c r="F46" s="2595"/>
      <c r="G46" s="2596">
        <f>土地案例!AN7</f>
        <v>47042</v>
      </c>
      <c r="H46" s="2597"/>
      <c r="I46" s="2594">
        <f>土地案例!AN4</f>
        <v>52546</v>
      </c>
      <c r="J46" s="2597"/>
      <c r="K46" s="2598"/>
      <c r="L46" s="2110"/>
      <c r="M46" s="2111"/>
      <c r="N46" s="2102"/>
      <c r="O46" s="2111"/>
      <c r="P46" s="3818" t="str">
        <f>A46</f>
        <v>成交单价</v>
      </c>
      <c r="Q46" s="3818"/>
      <c r="R46" s="3838">
        <f>E46</f>
        <v>52983</v>
      </c>
      <c r="S46" s="3838"/>
      <c r="T46" s="3838">
        <f>G46</f>
        <v>47042</v>
      </c>
      <c r="U46" s="3838"/>
      <c r="V46" s="3838">
        <f>I46</f>
        <v>52546</v>
      </c>
      <c r="W46" s="3838"/>
      <c r="X46" s="503"/>
      <c r="Y46" s="525"/>
      <c r="Z46" s="503"/>
      <c r="AA46" s="503"/>
      <c r="AB46" s="503"/>
      <c r="AC46" s="503"/>
    </row>
    <row r="47" spans="1:29" ht="15" thickBot="1">
      <c r="A47" s="295" t="s">
        <v>2247</v>
      </c>
      <c r="B47" s="455"/>
      <c r="C47" s="2599">
        <f>R48</f>
        <v>52272</v>
      </c>
      <c r="D47" s="2600" t="s">
        <v>2637</v>
      </c>
      <c r="E47" s="2599">
        <f>R47</f>
        <v>55468</v>
      </c>
      <c r="F47" s="2601"/>
      <c r="G47" s="2602">
        <f>T47</f>
        <v>49547</v>
      </c>
      <c r="H47" s="2601"/>
      <c r="I47" s="2599">
        <f>V47</f>
        <v>51800</v>
      </c>
      <c r="J47" s="2601"/>
      <c r="K47" s="2603">
        <f>F47+H47+J47</f>
        <v>0</v>
      </c>
      <c r="L47" s="2110"/>
      <c r="M47" s="2111"/>
      <c r="N47" s="2111"/>
      <c r="O47" s="2111"/>
      <c r="P47" s="3818" t="str">
        <f>A47</f>
        <v>比较价值（元/平方米）</v>
      </c>
      <c r="Q47" s="3818"/>
      <c r="R47" s="3839">
        <f>ROUND(PRODUCT(R46,AA7:AA45),0)</f>
        <v>55468</v>
      </c>
      <c r="S47" s="3839"/>
      <c r="T47" s="3839">
        <f>ROUND(PRODUCT(T46,AB7:AB45),0)</f>
        <v>49547</v>
      </c>
      <c r="U47" s="3839"/>
      <c r="V47" s="3839">
        <f>ROUND(PRODUCT(V46,AC7:AC45),0)</f>
        <v>51800</v>
      </c>
      <c r="W47" s="3839"/>
      <c r="X47" s="503"/>
      <c r="Y47" s="503"/>
      <c r="Z47" s="503"/>
      <c r="AA47" s="503"/>
      <c r="AB47" s="503"/>
      <c r="AC47" s="503"/>
    </row>
    <row r="48" spans="1:29" ht="15" thickBot="1">
      <c r="A48" s="299" t="s">
        <v>2335</v>
      </c>
      <c r="B48" s="300"/>
      <c r="C48" s="2604">
        <f>R48</f>
        <v>52272</v>
      </c>
      <c r="D48" s="2604"/>
      <c r="E48" s="2604"/>
      <c r="F48" s="2604"/>
      <c r="G48" s="2604"/>
      <c r="H48" s="2604"/>
      <c r="I48" s="2604"/>
      <c r="J48" s="2604"/>
      <c r="K48" s="2605"/>
      <c r="L48" s="2110"/>
      <c r="M48" s="2111"/>
      <c r="N48" s="2111"/>
      <c r="O48" s="2111"/>
      <c r="P48" s="3840" t="str">
        <f>A48</f>
        <v>估价对象XX用房的比较价值（楼面单价，元/平方米）</v>
      </c>
      <c r="Q48" s="3841"/>
      <c r="R48" s="3842">
        <f>ROUND(IF(D47="简单平均",AVERAGE(R47:W47),R47*F47+T47*H47+V47*J47),0)</f>
        <v>52272</v>
      </c>
      <c r="S48" s="3842"/>
      <c r="T48" s="3842"/>
      <c r="U48" s="3842"/>
      <c r="V48" s="3842"/>
      <c r="W48" s="3842"/>
      <c r="X48" s="503"/>
      <c r="Y48" s="503"/>
      <c r="Z48" s="503"/>
      <c r="AA48" s="503"/>
      <c r="AB48" s="503"/>
      <c r="AC48" s="503"/>
    </row>
    <row r="49" spans="1:29">
      <c r="A49" s="2111"/>
      <c r="B49" s="2111"/>
      <c r="C49" s="2606"/>
      <c r="D49" s="2606"/>
      <c r="E49" s="2606"/>
      <c r="F49" s="2606"/>
      <c r="G49" s="2606"/>
      <c r="H49" s="2606"/>
      <c r="I49" s="2606"/>
      <c r="J49" s="2606"/>
      <c r="K49" s="2606"/>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6"/>
      <c r="D50" s="2606"/>
      <c r="E50" s="2606"/>
      <c r="F50" s="2606"/>
      <c r="G50" s="2606"/>
      <c r="H50" s="2606"/>
      <c r="I50" s="2606"/>
      <c r="J50" s="2606"/>
      <c r="K50" s="2606"/>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7" t="s">
        <v>2249</v>
      </c>
      <c r="D51" s="2608"/>
      <c r="E51" s="2609">
        <f>IF(E46&lt;E47,E47/E46-1,E46/E47-1)</f>
        <v>4.6901836438102862E-2</v>
      </c>
      <c r="F51" s="2610" t="str">
        <f>IF(OR(E51&gt;=0.3,E51&lt;=-0.3),"超过30%","")</f>
        <v/>
      </c>
      <c r="G51" s="2609">
        <f>IF(G46&lt;G47,G47/G46-1,G46/G47-1)</f>
        <v>5.3250286977594596E-2</v>
      </c>
      <c r="H51" s="2610" t="str">
        <f>IF(OR(G51&gt;=0.3,G51&lt;=-0.3),"超过30%","")</f>
        <v/>
      </c>
      <c r="I51" s="2609">
        <f>IF(I46&lt;I47,I47/I46-1,I46/I47-1)</f>
        <v>1.4401544401544397E-2</v>
      </c>
      <c r="J51" s="2610" t="str">
        <f>IF(OR(I51&gt;=0.3,I51&lt;=-0.3),"超过30%","")</f>
        <v/>
      </c>
      <c r="K51" s="2606"/>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7" t="s">
        <v>2250</v>
      </c>
      <c r="D52" s="2611"/>
      <c r="E52" s="2609">
        <f>IF(E47&lt;G47,G47/E47-1,E47/G47-1)</f>
        <v>0.11950269441136707</v>
      </c>
      <c r="F52" s="2610" t="str">
        <f>IF(OR(E52&gt;=0.2,E52&lt;=-0.2),"超过20%","")</f>
        <v/>
      </c>
      <c r="G52" s="2609">
        <f>IF(G47&lt;I47,I47/G47-1,G47/I47-1)</f>
        <v>4.5471976103497624E-2</v>
      </c>
      <c r="H52" s="2610" t="str">
        <f>IF(OR(G52&gt;=0.2,G52&lt;=-0.2),"超过20%","")</f>
        <v/>
      </c>
      <c r="I52" s="2609">
        <f>IF(I47&lt;E47,E47/I47-1,I47/E47-1)</f>
        <v>7.0810810810810754E-2</v>
      </c>
      <c r="J52" s="2610" t="str">
        <f>IF(OR(I52&gt;=0.2,I52&lt;=-0.2),"超过20%","")</f>
        <v/>
      </c>
      <c r="K52" s="2606"/>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7" t="s">
        <v>2251</v>
      </c>
      <c r="D53" s="2611"/>
      <c r="E53" s="2609">
        <f>IF(E46&lt;G46,G46/E46-1,E46/G46-1)</f>
        <v>0.12629139917520504</v>
      </c>
      <c r="F53" s="2610" t="str">
        <f>IF(OR(E53&gt;=0.3,E53&lt;=-0.3),"超过30%","")</f>
        <v/>
      </c>
      <c r="G53" s="2609">
        <f>IF(G46&lt;I46,I46/G46-1,G46/I46-1)</f>
        <v>0.11700182815356497</v>
      </c>
      <c r="H53" s="2610" t="str">
        <f>IF(OR(G53&gt;=0.3,G53&lt;=-0.3),"超过30%","")</f>
        <v/>
      </c>
      <c r="I53" s="2609">
        <f>IF(I46&lt;E46,E46/I46-1,I46/E46-1)</f>
        <v>8.3165226658545865E-3</v>
      </c>
      <c r="J53" s="2610" t="str">
        <f>IF(OR(I53&gt;=0.3,I53&lt;=-0.3),"超过30%","")</f>
        <v/>
      </c>
      <c r="K53" s="2612"/>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4.4" thickBot="1">
      <c r="A54" s="2114"/>
      <c r="B54" s="2117"/>
      <c r="C54" s="2613"/>
      <c r="D54" s="2614"/>
      <c r="E54" s="2614"/>
      <c r="F54" s="2614"/>
      <c r="G54" s="2614"/>
      <c r="H54" s="2614"/>
      <c r="I54" s="2614"/>
      <c r="J54" s="2614"/>
      <c r="K54" s="2612"/>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5" t="s">
        <v>2338</v>
      </c>
      <c r="D55" s="2616" t="s">
        <v>2339</v>
      </c>
      <c r="E55" s="2617" t="s">
        <v>2340</v>
      </c>
      <c r="F55" s="2618" t="s">
        <v>2341</v>
      </c>
      <c r="G55" s="3820" t="s">
        <v>2342</v>
      </c>
      <c r="H55" s="3843"/>
      <c r="I55" s="2619" t="s">
        <v>2343</v>
      </c>
      <c r="J55" s="2620">
        <f>项目基本情况!F35</f>
        <v>0</v>
      </c>
      <c r="K55" s="2621"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2">
        <v>1</v>
      </c>
      <c r="D56" s="2622">
        <v>1</v>
      </c>
      <c r="E56" s="2522">
        <f>'数据-汇总表'!E8+'数据-汇总表'!E9</f>
        <v>73162.550000000017</v>
      </c>
      <c r="F56" s="2623">
        <f t="shared" ref="F56:F64" si="15">ROUND(B56*E56/10000,0)</f>
        <v>382435</v>
      </c>
      <c r="G56" s="3844"/>
      <c r="H56" s="3845"/>
      <c r="I56" s="2625">
        <v>1</v>
      </c>
      <c r="J56" s="2626">
        <v>1</v>
      </c>
      <c r="K56" s="2612"/>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2">
        <f>ROUND($C$48*C57*D57,0)</f>
        <v>7841</v>
      </c>
      <c r="C57" s="2627">
        <f t="shared" ref="C57:C64" si="16">IF($C$55="北京市系数",I57,J57)</f>
        <v>0.6</v>
      </c>
      <c r="D57" s="2628">
        <v>0.25</v>
      </c>
      <c r="E57" s="2491"/>
      <c r="F57" s="2623">
        <f t="shared" si="15"/>
        <v>0</v>
      </c>
      <c r="G57" s="2629" t="s">
        <v>2347</v>
      </c>
      <c r="H57" s="2630" t="str">
        <f>项目基本情况!B37</f>
        <v>七级</v>
      </c>
      <c r="I57" s="2625">
        <f>SUMIF(修正!A57:A68,H57,修正!B57:B68)</f>
        <v>0.6</v>
      </c>
      <c r="J57" s="2631"/>
      <c r="K57" s="2606"/>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2">
        <f t="shared" ref="B58:B64" si="17">ROUND($C$48*C58*D58,0)</f>
        <v>3920</v>
      </c>
      <c r="C58" s="2627">
        <f t="shared" si="16"/>
        <v>0.3</v>
      </c>
      <c r="D58" s="2628">
        <v>0.25</v>
      </c>
      <c r="E58" s="2491"/>
      <c r="F58" s="2623">
        <f t="shared" si="15"/>
        <v>0</v>
      </c>
      <c r="G58" s="2632"/>
      <c r="H58" s="2630" t="str">
        <f>项目基本情况!B37</f>
        <v>七级</v>
      </c>
      <c r="I58" s="2625">
        <f>SUMIF(修正!A57:A68,H58,修正!C57:C68)</f>
        <v>0.3</v>
      </c>
      <c r="J58" s="2631"/>
      <c r="K58" s="2612"/>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2">
        <f t="shared" si="17"/>
        <v>3267</v>
      </c>
      <c r="C59" s="2627">
        <f t="shared" si="16"/>
        <v>0.25</v>
      </c>
      <c r="D59" s="2628">
        <v>0.25</v>
      </c>
      <c r="E59" s="2491"/>
      <c r="F59" s="2623">
        <f t="shared" si="15"/>
        <v>0</v>
      </c>
      <c r="G59" s="2632"/>
      <c r="H59" s="2630" t="str">
        <f>项目基本情况!B37</f>
        <v>七级</v>
      </c>
      <c r="I59" s="2625">
        <f>SUMIF(修正!A57:A68,H59,修正!D57:D68)</f>
        <v>0.25</v>
      </c>
      <c r="J59" s="2631"/>
      <c r="K59" s="2606"/>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2">
        <f t="shared" si="17"/>
        <v>3267</v>
      </c>
      <c r="C60" s="2627">
        <f t="shared" si="16"/>
        <v>0.25</v>
      </c>
      <c r="D60" s="2628">
        <v>0.25</v>
      </c>
      <c r="E60" s="2492">
        <f>'数据-汇总表'!E11</f>
        <v>0</v>
      </c>
      <c r="F60" s="2623">
        <f t="shared" si="15"/>
        <v>0</v>
      </c>
      <c r="G60" s="2633" t="s">
        <v>2351</v>
      </c>
      <c r="H60" s="2630" t="str">
        <f>项目基本情况!C37</f>
        <v>七级</v>
      </c>
      <c r="I60" s="2625">
        <f>SUMIF(修正!A57:A68,H60,修正!E57:E68)</f>
        <v>0.25</v>
      </c>
      <c r="J60" s="2631"/>
      <c r="K60" s="2606"/>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2">
        <f t="shared" si="17"/>
        <v>3267</v>
      </c>
      <c r="C61" s="2627">
        <f t="shared" si="16"/>
        <v>0.25</v>
      </c>
      <c r="D61" s="2628">
        <v>0.25</v>
      </c>
      <c r="E61" s="2492">
        <f>'数据-汇总表'!E12</f>
        <v>31436.179999999993</v>
      </c>
      <c r="F61" s="2623">
        <f t="shared" si="15"/>
        <v>10270</v>
      </c>
      <c r="G61" s="2634" t="s">
        <v>2353</v>
      </c>
      <c r="H61" s="2630" t="str">
        <f>IF(G61="商业",项目基本情况!B37,IF(G61="办公",项目基本情况!C37,IF(G61="住宅",项目基本情况!D37,项目基本情况!E37)))</f>
        <v>七级</v>
      </c>
      <c r="I61" s="2625">
        <f>SUMIF(修正!A57:A68,H61,修正!F57:F68)</f>
        <v>0.25</v>
      </c>
      <c r="J61" s="2631"/>
      <c r="K61" s="2612"/>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2">
        <f t="shared" si="17"/>
        <v>1960</v>
      </c>
      <c r="C62" s="2627">
        <f t="shared" si="16"/>
        <v>0.15</v>
      </c>
      <c r="D62" s="2628">
        <v>0.25</v>
      </c>
      <c r="E62" s="2492">
        <f>'数据-汇总表'!E13</f>
        <v>17166.82</v>
      </c>
      <c r="F62" s="2623">
        <f t="shared" si="15"/>
        <v>3365</v>
      </c>
      <c r="G62" s="2634" t="s">
        <v>2355</v>
      </c>
      <c r="H62" s="2630" t="str">
        <f>IF(G62="商业",项目基本情况!B37,IF(G62="办公",项目基本情况!C37,IF(G62="住宅",项目基本情况!D37,项目基本情况!E37)))</f>
        <v>七级</v>
      </c>
      <c r="I62" s="2625">
        <f>SUMIF(修正!A57:A68,H62,修正!G57:G68)</f>
        <v>0.15</v>
      </c>
      <c r="J62" s="2631"/>
      <c r="K62" s="2606"/>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2">
        <f t="shared" si="17"/>
        <v>1960</v>
      </c>
      <c r="C63" s="2627">
        <f t="shared" si="16"/>
        <v>0.15</v>
      </c>
      <c r="D63" s="2628">
        <v>0.25</v>
      </c>
      <c r="E63" s="2492">
        <f>'数据-汇总表'!E14</f>
        <v>0</v>
      </c>
      <c r="F63" s="2623">
        <f t="shared" si="15"/>
        <v>0</v>
      </c>
      <c r="G63" s="2633" t="s">
        <v>2347</v>
      </c>
      <c r="H63" s="2630" t="str">
        <f>项目基本情况!B37</f>
        <v>七级</v>
      </c>
      <c r="I63" s="2625">
        <f>SUMIF(修正!A57:A68,H63,修正!G57:G68)</f>
        <v>0.15</v>
      </c>
      <c r="J63" s="2631"/>
      <c r="K63" s="2612"/>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4.4" thickBot="1">
      <c r="A64" s="465" t="s">
        <v>2357</v>
      </c>
      <c r="B64" s="2492">
        <f t="shared" si="17"/>
        <v>1960</v>
      </c>
      <c r="C64" s="2627">
        <f t="shared" si="16"/>
        <v>0.15</v>
      </c>
      <c r="D64" s="2628">
        <v>0.25</v>
      </c>
      <c r="E64" s="2492">
        <f>'数据-汇总表'!E15</f>
        <v>0</v>
      </c>
      <c r="F64" s="2623">
        <f t="shared" si="15"/>
        <v>0</v>
      </c>
      <c r="G64" s="2635" t="s">
        <v>2351</v>
      </c>
      <c r="H64" s="2636" t="str">
        <f>项目基本情况!C37</f>
        <v>七级</v>
      </c>
      <c r="I64" s="2637">
        <f>SUMIF(修正!A57:A68,H64,修正!G57:G68)</f>
        <v>0.15</v>
      </c>
      <c r="J64" s="2638"/>
      <c r="K64" s="2606"/>
      <c r="L64" s="2167"/>
      <c r="M64" s="2167"/>
      <c r="N64" s="2167"/>
      <c r="O64" s="2167"/>
      <c r="P64" s="2167"/>
      <c r="Q64" s="2167"/>
      <c r="R64" s="2167"/>
      <c r="S64" s="2167"/>
      <c r="T64" s="2167"/>
      <c r="U64" s="2167"/>
      <c r="V64" s="2167"/>
      <c r="W64" s="2167"/>
      <c r="X64" s="2167"/>
      <c r="Y64" s="2167"/>
      <c r="Z64" s="2167"/>
      <c r="AA64" s="2167"/>
      <c r="AB64" s="2167"/>
      <c r="AC64" s="2167"/>
    </row>
    <row r="65" spans="1:29" s="464" customFormat="1" thickBot="1">
      <c r="A65" s="467" t="s">
        <v>2358</v>
      </c>
      <c r="B65" s="468" t="s">
        <v>28</v>
      </c>
      <c r="C65" s="2639" t="s">
        <v>29</v>
      </c>
      <c r="D65" s="2639" t="s">
        <v>816</v>
      </c>
      <c r="E65" s="2639">
        <f>IF(B46="楼面地价",SUM(E56:E64),'数据-汇总表'!D3)</f>
        <v>121765.55000000002</v>
      </c>
      <c r="F65" s="2640">
        <f>IF(B46="楼面地价",SUM(F56:F64),ROUND(C48*E65/10000,0))</f>
        <v>396070</v>
      </c>
      <c r="G65" s="2641"/>
      <c r="H65" s="2641"/>
      <c r="I65" s="2641"/>
      <c r="J65" s="2641"/>
      <c r="K65" s="2642"/>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3"/>
      <c r="D66" s="2613"/>
      <c r="E66" s="2613"/>
      <c r="F66" s="2613"/>
      <c r="G66" s="2613"/>
      <c r="H66" s="2613"/>
      <c r="I66" s="2613"/>
      <c r="J66" s="2643"/>
      <c r="K66" s="2643"/>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3" t="str">
        <f>YEAR(C7)&amp;"-"&amp;MONTH(C7)&amp;"-1"</f>
        <v>2022-8-1</v>
      </c>
      <c r="D67" s="2613">
        <f>EDATE(C67,-3)</f>
        <v>44682</v>
      </c>
      <c r="E67" s="2613">
        <f>EDATE(D67,-3)</f>
        <v>44593</v>
      </c>
      <c r="F67" s="2613">
        <f t="shared" ref="F67:O67" si="18">EDATE(E67,-3)</f>
        <v>44501</v>
      </c>
      <c r="G67" s="2613">
        <f t="shared" si="18"/>
        <v>44409</v>
      </c>
      <c r="H67" s="2613">
        <f t="shared" si="18"/>
        <v>44317</v>
      </c>
      <c r="I67" s="2613">
        <f t="shared" si="18"/>
        <v>44228</v>
      </c>
      <c r="J67" s="2613">
        <f t="shared" si="18"/>
        <v>44136</v>
      </c>
      <c r="K67" s="2613">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2.2" thickBot="1">
      <c r="A68" s="507" t="s">
        <v>2252</v>
      </c>
      <c r="B68" s="503"/>
      <c r="C68" s="2644"/>
      <c r="D68" s="2644"/>
      <c r="E68" s="2644"/>
      <c r="F68" s="2645"/>
      <c r="G68" s="2645"/>
      <c r="H68" s="2644"/>
      <c r="I68" s="2644"/>
      <c r="J68" s="2646"/>
      <c r="K68" s="2647"/>
      <c r="L68" s="791"/>
      <c r="M68" s="789"/>
      <c r="N68" s="2155"/>
      <c r="O68" s="2155"/>
      <c r="P68" s="2155"/>
      <c r="Q68" s="2125"/>
      <c r="R68" s="2111"/>
      <c r="S68" s="2111"/>
      <c r="T68" s="2111"/>
      <c r="U68" s="2111"/>
      <c r="V68" s="2111"/>
      <c r="W68" s="2111"/>
      <c r="X68" s="2111"/>
      <c r="Y68" s="2111"/>
      <c r="Z68" s="2111"/>
      <c r="AA68" s="2111"/>
      <c r="AB68" s="2111"/>
      <c r="AC68" s="2111"/>
    </row>
    <row r="69" spans="1:29" s="315" customFormat="1" ht="14.4">
      <c r="A69" s="1530" t="s">
        <v>2359</v>
      </c>
      <c r="B69" s="932"/>
      <c r="C69" s="2648" t="str">
        <f>YEAR(C67)&amp;"-"&amp;ROUNDUP(MONTH(C67)/3,0)</f>
        <v>2022-3</v>
      </c>
      <c r="D69" s="2648" t="str">
        <f>YEAR(D67)&amp;"-"&amp;ROUNDUP(MONTH(D67)/3,0)</f>
        <v>2022-2</v>
      </c>
      <c r="E69" s="2648" t="str">
        <f t="shared" ref="E69:O69" si="19">YEAR(E67)&amp;"-"&amp;ROUNDUP(MONTH(E67)/3,0)</f>
        <v>2022-1</v>
      </c>
      <c r="F69" s="2648" t="str">
        <f t="shared" si="19"/>
        <v>2021-4</v>
      </c>
      <c r="G69" s="2648" t="str">
        <f t="shared" si="19"/>
        <v>2021-3</v>
      </c>
      <c r="H69" s="2648" t="str">
        <f t="shared" si="19"/>
        <v>2021-2</v>
      </c>
      <c r="I69" s="2648" t="str">
        <f t="shared" si="19"/>
        <v>2021-1</v>
      </c>
      <c r="J69" s="2648" t="str">
        <f t="shared" si="19"/>
        <v>2020-4</v>
      </c>
      <c r="K69" s="2648"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49">
        <v>100</v>
      </c>
      <c r="D70" s="2650">
        <f>C70-$C$71</f>
        <v>99.5</v>
      </c>
      <c r="E70" s="2650">
        <f t="shared" ref="E70:M70" si="20">D70-$C$71</f>
        <v>99</v>
      </c>
      <c r="F70" s="2650">
        <f t="shared" si="20"/>
        <v>98.5</v>
      </c>
      <c r="G70" s="2650">
        <f t="shared" si="20"/>
        <v>98</v>
      </c>
      <c r="H70" s="2650">
        <f t="shared" si="20"/>
        <v>97.5</v>
      </c>
      <c r="I70" s="2650">
        <f t="shared" si="20"/>
        <v>97</v>
      </c>
      <c r="J70" s="2650">
        <f t="shared" si="20"/>
        <v>96.5</v>
      </c>
      <c r="K70" s="2650">
        <f t="shared" si="20"/>
        <v>96</v>
      </c>
      <c r="L70" s="2650">
        <f t="shared" si="20"/>
        <v>95.5</v>
      </c>
      <c r="M70" s="2650">
        <f t="shared" si="20"/>
        <v>95</v>
      </c>
      <c r="N70" s="402"/>
      <c r="O70" s="981"/>
      <c r="P70" s="2125"/>
      <c r="Q70" s="2068"/>
      <c r="R70" s="2068"/>
      <c r="S70" s="2068"/>
      <c r="T70" s="2068"/>
      <c r="U70" s="2068"/>
      <c r="V70" s="2068"/>
      <c r="W70" s="2068"/>
      <c r="X70" s="2068"/>
      <c r="Y70" s="2068"/>
      <c r="Z70" s="2068"/>
      <c r="AA70" s="2068"/>
      <c r="AB70" s="2068"/>
      <c r="AC70" s="2068"/>
    </row>
    <row r="71" spans="1:29" s="50" customFormat="1" ht="15" thickBot="1">
      <c r="A71" s="322" t="s">
        <v>2163</v>
      </c>
      <c r="B71" s="323"/>
      <c r="C71" s="2651">
        <v>0.5</v>
      </c>
      <c r="D71" s="2652"/>
      <c r="E71" s="2652"/>
      <c r="F71" s="2652"/>
      <c r="G71" s="2652"/>
      <c r="H71" s="2652"/>
      <c r="I71" s="2652"/>
      <c r="J71" s="2652"/>
      <c r="K71" s="2652"/>
      <c r="L71" s="325"/>
      <c r="M71" s="326"/>
      <c r="N71" s="325"/>
      <c r="O71" s="792"/>
      <c r="P71" s="2125"/>
      <c r="Q71" s="2125"/>
      <c r="R71" s="2068"/>
      <c r="S71" s="2068"/>
      <c r="T71" s="2068"/>
      <c r="U71" s="2068"/>
      <c r="V71" s="2068"/>
      <c r="W71" s="2068"/>
      <c r="X71" s="2068"/>
      <c r="Y71" s="2068"/>
      <c r="Z71" s="2068"/>
      <c r="AA71" s="2068"/>
      <c r="AB71" s="2068"/>
      <c r="AC71" s="2068"/>
    </row>
    <row r="72" spans="1:29" s="50" customFormat="1" ht="14.4">
      <c r="A72" s="328" t="s">
        <v>2128</v>
      </c>
      <c r="B72" s="317"/>
      <c r="C72" s="2653" t="s">
        <v>2230</v>
      </c>
      <c r="D72" s="2654"/>
      <c r="E72" s="2654"/>
      <c r="F72" s="2654"/>
      <c r="G72" s="2654"/>
      <c r="H72" s="2654"/>
      <c r="I72" s="2654"/>
      <c r="J72" s="2654"/>
      <c r="K72" s="2654"/>
      <c r="L72" s="331"/>
      <c r="M72" s="332"/>
      <c r="N72" s="2138"/>
      <c r="O72" s="2138"/>
      <c r="P72" s="2163"/>
      <c r="Q72" s="2125"/>
      <c r="R72" s="2068"/>
      <c r="S72" s="2068"/>
      <c r="T72" s="2068"/>
      <c r="U72" s="2068"/>
      <c r="V72" s="2068"/>
      <c r="W72" s="2068"/>
      <c r="X72" s="2068"/>
      <c r="Y72" s="2068"/>
      <c r="Z72" s="2068"/>
      <c r="AA72" s="2068"/>
      <c r="AB72" s="2068"/>
      <c r="AC72" s="2068"/>
    </row>
    <row r="73" spans="1:29" s="50" customFormat="1" ht="14.4" thickBot="1">
      <c r="A73" s="328"/>
      <c r="B73" s="317"/>
      <c r="C73" s="2655">
        <v>100</v>
      </c>
      <c r="D73" s="2656"/>
      <c r="E73" s="2656"/>
      <c r="F73" s="2656"/>
      <c r="G73" s="2656"/>
      <c r="H73" s="2656"/>
      <c r="I73" s="2656"/>
      <c r="J73" s="2656"/>
      <c r="K73" s="2656"/>
      <c r="L73" s="319"/>
      <c r="M73" s="321"/>
      <c r="N73" s="2138"/>
      <c r="O73" s="2138"/>
      <c r="P73" s="2125"/>
      <c r="Q73" s="2125"/>
      <c r="R73" s="2068"/>
      <c r="S73" s="2068"/>
      <c r="T73" s="2068"/>
      <c r="U73" s="2068"/>
      <c r="V73" s="2068"/>
      <c r="W73" s="2068"/>
      <c r="X73" s="2068"/>
      <c r="Y73" s="2068"/>
      <c r="Z73" s="2068"/>
      <c r="AA73" s="2068"/>
      <c r="AB73" s="2068"/>
      <c r="AC73" s="2068"/>
    </row>
    <row r="74" spans="1:29" ht="14.4">
      <c r="A74" s="334" t="s">
        <v>2166</v>
      </c>
      <c r="B74" s="335" t="s">
        <v>2132</v>
      </c>
      <c r="C74" s="2657" t="s">
        <v>3514</v>
      </c>
      <c r="D74" s="2658"/>
      <c r="E74" s="2658"/>
      <c r="F74" s="2658"/>
      <c r="G74" s="2658"/>
      <c r="H74" s="2658"/>
      <c r="I74" s="2658"/>
      <c r="J74" s="2658"/>
      <c r="K74" s="2659"/>
      <c r="L74" s="339"/>
      <c r="M74" s="340"/>
      <c r="N74" s="2139"/>
      <c r="O74" s="2139"/>
      <c r="P74" s="2164"/>
      <c r="Q74" s="2125"/>
      <c r="R74" s="2111"/>
      <c r="S74" s="2111"/>
      <c r="T74" s="2111"/>
      <c r="U74" s="2111"/>
      <c r="V74" s="2111"/>
      <c r="W74" s="2111"/>
      <c r="X74" s="2111"/>
      <c r="Y74" s="2111"/>
      <c r="Z74" s="2111"/>
      <c r="AA74" s="2111"/>
      <c r="AB74" s="2111"/>
      <c r="AC74" s="2111"/>
    </row>
    <row r="75" spans="1:29" ht="14.4" thickBot="1">
      <c r="A75" s="341"/>
      <c r="B75" s="342"/>
      <c r="C75" s="2660"/>
      <c r="D75" s="2660"/>
      <c r="E75" s="2660"/>
      <c r="F75" s="2660"/>
      <c r="G75" s="2660"/>
      <c r="H75" s="2660"/>
      <c r="I75" s="2660"/>
      <c r="J75" s="2660"/>
      <c r="K75" s="2660"/>
      <c r="L75" s="343"/>
      <c r="M75" s="344"/>
      <c r="N75" s="2140"/>
      <c r="O75" s="2140"/>
      <c r="P75" s="2164"/>
      <c r="Q75" s="2125"/>
      <c r="R75" s="2111"/>
      <c r="S75" s="2111"/>
      <c r="T75" s="2111"/>
      <c r="U75" s="2111"/>
      <c r="V75" s="2111"/>
      <c r="W75" s="2111"/>
      <c r="X75" s="2111"/>
      <c r="Y75" s="2111"/>
      <c r="Z75" s="2111"/>
      <c r="AA75" s="2111"/>
      <c r="AB75" s="2111"/>
      <c r="AC75" s="2111"/>
    </row>
    <row r="76" spans="1:29" ht="29.4" thickTop="1">
      <c r="A76" s="341"/>
      <c r="B76" s="345" t="s">
        <v>2135</v>
      </c>
      <c r="C76" s="2661"/>
      <c r="D76" s="2661"/>
      <c r="E76" s="2661"/>
      <c r="F76" s="2661"/>
      <c r="G76" s="2661"/>
      <c r="H76" s="2661"/>
      <c r="I76" s="2661"/>
      <c r="J76" s="2661"/>
      <c r="K76" s="2662"/>
      <c r="L76" s="348"/>
      <c r="M76" s="349"/>
      <c r="N76" s="2139"/>
      <c r="O76" s="2139"/>
      <c r="P76" s="2164"/>
      <c r="Q76" s="2125"/>
      <c r="R76" s="2111"/>
      <c r="S76" s="2111"/>
      <c r="T76" s="2111"/>
      <c r="U76" s="2111"/>
      <c r="V76" s="2111"/>
      <c r="W76" s="2111"/>
      <c r="X76" s="2111"/>
      <c r="Y76" s="2111"/>
      <c r="Z76" s="2111"/>
      <c r="AA76" s="2111"/>
      <c r="AB76" s="2111"/>
      <c r="AC76" s="2111"/>
    </row>
    <row r="77" spans="1:29" ht="14.4" thickBot="1">
      <c r="A77" s="341"/>
      <c r="B77" s="350"/>
      <c r="C77" s="2663"/>
      <c r="D77" s="2663"/>
      <c r="E77" s="2663"/>
      <c r="F77" s="2663"/>
      <c r="G77" s="2663"/>
      <c r="H77" s="2663"/>
      <c r="I77" s="2663"/>
      <c r="J77" s="2663"/>
      <c r="K77" s="2663"/>
      <c r="L77" s="351"/>
      <c r="M77" s="352"/>
      <c r="N77" s="2140"/>
      <c r="O77" s="2140"/>
      <c r="P77" s="2164"/>
      <c r="Q77" s="2125"/>
      <c r="R77" s="2111"/>
      <c r="S77" s="2111"/>
      <c r="T77" s="2111"/>
      <c r="U77" s="2111"/>
      <c r="V77" s="2111"/>
      <c r="W77" s="2111"/>
      <c r="X77" s="2111"/>
      <c r="Y77" s="2111"/>
      <c r="Z77" s="2111"/>
      <c r="AA77" s="2111"/>
      <c r="AB77" s="2111"/>
      <c r="AC77" s="2111"/>
    </row>
    <row r="78" spans="1:29" ht="42" thickTop="1">
      <c r="A78" s="341"/>
      <c r="B78" s="353" t="s">
        <v>2136</v>
      </c>
      <c r="C78" s="2664" t="str">
        <f>C79&amp;"（含）"&amp;"-"&amp;D79</f>
        <v>0（含）-0.5</v>
      </c>
      <c r="D78" s="2664" t="str">
        <f t="shared" ref="D78:L78" si="21">D79&amp;"（含）"&amp;"-"&amp;E79</f>
        <v>0.5（含）-1</v>
      </c>
      <c r="E78" s="2664" t="str">
        <f t="shared" si="21"/>
        <v>1（含）-1.5</v>
      </c>
      <c r="F78" s="2664" t="str">
        <f t="shared" si="21"/>
        <v>1.5（含）-2</v>
      </c>
      <c r="G78" s="2664" t="str">
        <f t="shared" si="21"/>
        <v>2（含）-2.5</v>
      </c>
      <c r="H78" s="2664" t="str">
        <f t="shared" si="21"/>
        <v>2.5（含）-3</v>
      </c>
      <c r="I78" s="2664" t="str">
        <f t="shared" si="21"/>
        <v>3（含）-</v>
      </c>
      <c r="J78" s="2664" t="str">
        <f t="shared" si="21"/>
        <v>（含）-</v>
      </c>
      <c r="K78" s="2664"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c r="A79" s="341"/>
      <c r="B79" s="355"/>
      <c r="C79" s="2554">
        <v>0</v>
      </c>
      <c r="D79" s="2554">
        <v>0.5</v>
      </c>
      <c r="E79" s="2554">
        <v>1</v>
      </c>
      <c r="F79" s="2554">
        <v>1.5</v>
      </c>
      <c r="G79" s="2554">
        <v>2</v>
      </c>
      <c r="H79" s="2554">
        <v>2.5</v>
      </c>
      <c r="I79" s="2554">
        <v>3</v>
      </c>
      <c r="J79" s="2554"/>
      <c r="K79" s="2665"/>
      <c r="L79" s="358"/>
      <c r="M79" s="359"/>
      <c r="N79" s="2139"/>
      <c r="O79" s="2139"/>
      <c r="P79" s="2164"/>
      <c r="Q79" s="2125"/>
      <c r="R79" s="2111"/>
      <c r="S79" s="2111"/>
      <c r="T79" s="2111"/>
      <c r="U79" s="2111"/>
      <c r="V79" s="2111"/>
      <c r="W79" s="2111"/>
      <c r="X79" s="2111"/>
      <c r="Y79" s="2111"/>
      <c r="Z79" s="2111"/>
      <c r="AA79" s="2111"/>
      <c r="AB79" s="2111"/>
      <c r="AC79" s="2111"/>
    </row>
    <row r="80" spans="1:29" ht="14.4" thickBot="1">
      <c r="A80" s="341"/>
      <c r="B80" s="342"/>
      <c r="C80" s="2663">
        <v>100</v>
      </c>
      <c r="D80" s="2663">
        <f t="shared" ref="D80:M80" si="22">IF($B$46="单位面积地价",C80+$K11,C80-$K11)</f>
        <v>98</v>
      </c>
      <c r="E80" s="2663">
        <f t="shared" si="22"/>
        <v>96</v>
      </c>
      <c r="F80" s="2663">
        <f t="shared" si="22"/>
        <v>94</v>
      </c>
      <c r="G80" s="2663">
        <f t="shared" si="22"/>
        <v>92</v>
      </c>
      <c r="H80" s="2663">
        <f t="shared" si="22"/>
        <v>90</v>
      </c>
      <c r="I80" s="2663">
        <f t="shared" si="22"/>
        <v>88</v>
      </c>
      <c r="J80" s="2663">
        <f t="shared" si="22"/>
        <v>86</v>
      </c>
      <c r="K80" s="2663">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 thickTop="1">
      <c r="A81" s="360"/>
      <c r="B81" s="345" t="str">
        <f>B12</f>
        <v>配建</v>
      </c>
      <c r="C81" s="2548" t="s">
        <v>3544</v>
      </c>
      <c r="D81" s="2548" t="s">
        <v>3543</v>
      </c>
      <c r="E81" s="2666"/>
      <c r="F81" s="2666"/>
      <c r="G81" s="2666"/>
      <c r="H81" s="2667"/>
      <c r="I81" s="2667"/>
      <c r="J81" s="2667"/>
      <c r="K81" s="2667"/>
      <c r="L81" s="363"/>
      <c r="M81" s="364"/>
      <c r="N81" s="2141"/>
      <c r="O81" s="2141"/>
      <c r="P81" s="2165"/>
      <c r="Q81" s="2132"/>
      <c r="R81" s="2133"/>
      <c r="S81" s="2133"/>
      <c r="T81" s="2133"/>
      <c r="U81" s="2133"/>
      <c r="V81" s="2133"/>
      <c r="W81" s="2133"/>
      <c r="X81" s="2133"/>
      <c r="Y81" s="2133"/>
      <c r="Z81" s="2133"/>
      <c r="AA81" s="2133"/>
      <c r="AB81" s="2133"/>
      <c r="AC81" s="2133"/>
    </row>
    <row r="82" spans="1:29" s="282" customFormat="1" ht="14.4" thickBot="1">
      <c r="A82" s="360"/>
      <c r="B82" s="350"/>
      <c r="C82" s="2668">
        <v>100</v>
      </c>
      <c r="D82" s="2660">
        <v>97</v>
      </c>
      <c r="E82" s="2660"/>
      <c r="F82" s="2660"/>
      <c r="G82" s="2660"/>
      <c r="H82" s="2660"/>
      <c r="I82" s="2660"/>
      <c r="J82" s="2660"/>
      <c r="K82" s="2660"/>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 thickTop="1">
      <c r="A83" s="360"/>
      <c r="B83" s="345" t="str">
        <f>B13</f>
        <v>限价</v>
      </c>
      <c r="C83" s="2666" t="s">
        <v>3539</v>
      </c>
      <c r="D83" s="2666" t="s">
        <v>3540</v>
      </c>
      <c r="E83" s="2666"/>
      <c r="F83" s="2666"/>
      <c r="G83" s="2666"/>
      <c r="H83" s="2667"/>
      <c r="I83" s="2667"/>
      <c r="J83" s="2667"/>
      <c r="K83" s="2667"/>
      <c r="L83" s="363"/>
      <c r="M83" s="364"/>
      <c r="N83" s="2141"/>
      <c r="O83" s="2141"/>
      <c r="P83" s="2109"/>
      <c r="Q83" s="2135"/>
      <c r="R83" s="2133"/>
      <c r="S83" s="2133"/>
      <c r="T83" s="2133"/>
      <c r="U83" s="2133"/>
      <c r="V83" s="2133"/>
      <c r="W83" s="2133"/>
      <c r="X83" s="2133"/>
      <c r="Y83" s="2133"/>
      <c r="Z83" s="2133"/>
      <c r="AA83" s="2133"/>
      <c r="AB83" s="2133"/>
      <c r="AC83" s="2133"/>
    </row>
    <row r="84" spans="1:29" s="282" customFormat="1" ht="14.4" thickBot="1">
      <c r="A84" s="360"/>
      <c r="B84" s="350"/>
      <c r="C84" s="2668">
        <v>100</v>
      </c>
      <c r="D84" s="2668">
        <v>97</v>
      </c>
      <c r="E84" s="2668"/>
      <c r="F84" s="2668"/>
      <c r="G84" s="2668"/>
      <c r="H84" s="2669"/>
      <c r="I84" s="2669"/>
      <c r="J84" s="2669"/>
      <c r="K84" s="2669"/>
      <c r="L84" s="369"/>
      <c r="M84" s="370"/>
      <c r="N84" s="2141"/>
      <c r="O84" s="2141"/>
      <c r="P84" s="2165"/>
      <c r="Q84" s="2132"/>
      <c r="R84" s="2133"/>
      <c r="S84" s="2133"/>
      <c r="T84" s="2133"/>
      <c r="U84" s="2133"/>
      <c r="V84" s="2133"/>
      <c r="W84" s="2133"/>
      <c r="X84" s="2133"/>
      <c r="Y84" s="2133"/>
      <c r="Z84" s="2133"/>
      <c r="AA84" s="2133"/>
      <c r="AB84" s="2133"/>
      <c r="AC84" s="2133"/>
    </row>
    <row r="85" spans="1:29" s="282" customFormat="1" ht="14.4" thickTop="1">
      <c r="A85" s="360"/>
      <c r="B85" s="353">
        <f>B14</f>
        <v>111</v>
      </c>
      <c r="C85" s="2654"/>
      <c r="D85" s="2654"/>
      <c r="E85" s="2654"/>
      <c r="F85" s="2654"/>
      <c r="G85" s="2654"/>
      <c r="H85" s="2670"/>
      <c r="I85" s="2670"/>
      <c r="J85" s="2670"/>
      <c r="K85" s="2670"/>
      <c r="L85" s="372"/>
      <c r="M85" s="373"/>
      <c r="N85" s="2141"/>
      <c r="O85" s="2141"/>
      <c r="P85" s="2168"/>
      <c r="Q85" s="2132"/>
      <c r="R85" s="2133"/>
      <c r="S85" s="2133"/>
      <c r="T85" s="2133"/>
      <c r="U85" s="2133"/>
      <c r="V85" s="2133"/>
      <c r="W85" s="2133"/>
      <c r="X85" s="2133"/>
      <c r="Y85" s="2133"/>
      <c r="Z85" s="2133"/>
      <c r="AA85" s="2133"/>
      <c r="AB85" s="2133"/>
      <c r="AC85" s="2133"/>
    </row>
    <row r="86" spans="1:29" s="282" customFormat="1" ht="14.4" thickBot="1">
      <c r="A86" s="375"/>
      <c r="B86" s="376"/>
      <c r="C86" s="2671"/>
      <c r="D86" s="2671"/>
      <c r="E86" s="2671"/>
      <c r="F86" s="2671"/>
      <c r="G86" s="2671"/>
      <c r="H86" s="2672"/>
      <c r="I86" s="2672"/>
      <c r="J86" s="2672"/>
      <c r="K86" s="2672"/>
      <c r="L86" s="378"/>
      <c r="M86" s="379"/>
      <c r="N86" s="2141"/>
      <c r="O86" s="2141"/>
      <c r="P86" s="2165"/>
      <c r="Q86" s="2132"/>
      <c r="R86" s="2133"/>
      <c r="S86" s="2133"/>
      <c r="T86" s="2133"/>
      <c r="U86" s="2133"/>
      <c r="V86" s="2133"/>
      <c r="W86" s="2133"/>
      <c r="X86" s="2133"/>
      <c r="Y86" s="2133"/>
      <c r="Z86" s="2133"/>
      <c r="AA86" s="2133"/>
      <c r="AB86" s="2133"/>
      <c r="AC86" s="2133"/>
    </row>
    <row r="87" spans="1:29" ht="14.4">
      <c r="A87" s="334" t="s">
        <v>2137</v>
      </c>
      <c r="B87" s="335" t="s">
        <v>2174</v>
      </c>
      <c r="C87" s="2673" t="s">
        <v>2175</v>
      </c>
      <c r="D87" s="2673" t="s">
        <v>2176</v>
      </c>
      <c r="E87" s="2673" t="s">
        <v>2177</v>
      </c>
      <c r="F87" s="2673" t="s">
        <v>2178</v>
      </c>
      <c r="G87" s="2673" t="s">
        <v>2179</v>
      </c>
      <c r="H87" s="2674"/>
      <c r="I87" s="2674"/>
      <c r="J87" s="2674"/>
      <c r="K87" s="2675"/>
      <c r="L87" s="382"/>
      <c r="M87" s="383"/>
      <c r="N87" s="2139"/>
      <c r="O87" s="2139"/>
      <c r="P87" s="2166"/>
      <c r="Q87" s="2125"/>
      <c r="R87" s="2111"/>
      <c r="S87" s="2111"/>
      <c r="T87" s="2111"/>
      <c r="U87" s="2111"/>
      <c r="V87" s="2111"/>
      <c r="W87" s="2111"/>
      <c r="X87" s="2111"/>
      <c r="Y87" s="2111"/>
      <c r="Z87" s="2111"/>
      <c r="AA87" s="2111"/>
      <c r="AB87" s="2111"/>
      <c r="AC87" s="2111"/>
    </row>
    <row r="88" spans="1:29" ht="14.4" thickBot="1">
      <c r="A88" s="341"/>
      <c r="B88" s="350"/>
      <c r="C88" s="2663">
        <v>100</v>
      </c>
      <c r="D88" s="2663">
        <f>C88-$K15</f>
        <v>99</v>
      </c>
      <c r="E88" s="2663">
        <f>D88-$K15</f>
        <v>98</v>
      </c>
      <c r="F88" s="2663">
        <f>E88-$K15</f>
        <v>97</v>
      </c>
      <c r="G88" s="2663">
        <f>F88-$K15</f>
        <v>96</v>
      </c>
      <c r="H88" s="2663"/>
      <c r="I88" s="2663"/>
      <c r="J88" s="2663"/>
      <c r="K88" s="2663"/>
      <c r="L88" s="351"/>
      <c r="M88" s="352"/>
      <c r="N88" s="2140"/>
      <c r="O88" s="2140"/>
      <c r="P88" s="2164"/>
      <c r="Q88" s="2125"/>
      <c r="R88" s="2111"/>
      <c r="S88" s="2111"/>
      <c r="T88" s="2111"/>
      <c r="U88" s="2111"/>
      <c r="V88" s="2111"/>
      <c r="W88" s="2111"/>
      <c r="X88" s="2111"/>
      <c r="Y88" s="2111"/>
      <c r="Z88" s="2111"/>
      <c r="AA88" s="2111"/>
      <c r="AB88" s="2111"/>
      <c r="AC88" s="2111"/>
    </row>
    <row r="89" spans="1:29" ht="15" thickTop="1">
      <c r="A89" s="341"/>
      <c r="B89" s="345" t="s">
        <v>2361</v>
      </c>
      <c r="C89" s="2676" t="s">
        <v>2175</v>
      </c>
      <c r="D89" s="2676" t="s">
        <v>2176</v>
      </c>
      <c r="E89" s="2676" t="s">
        <v>2177</v>
      </c>
      <c r="F89" s="2676" t="s">
        <v>2178</v>
      </c>
      <c r="G89" s="2676" t="s">
        <v>2179</v>
      </c>
      <c r="H89" s="2661"/>
      <c r="I89" s="2661"/>
      <c r="J89" s="2661"/>
      <c r="K89" s="2662"/>
      <c r="L89" s="348"/>
      <c r="M89" s="349"/>
      <c r="N89" s="2139"/>
      <c r="O89" s="2139"/>
      <c r="P89" s="2164"/>
      <c r="Q89" s="2125"/>
      <c r="R89" s="2111"/>
      <c r="S89" s="2111"/>
      <c r="T89" s="2111"/>
      <c r="U89" s="2111"/>
      <c r="V89" s="2111"/>
      <c r="W89" s="2111"/>
      <c r="X89" s="2111"/>
      <c r="Y89" s="2111"/>
      <c r="Z89" s="2111"/>
      <c r="AA89" s="2111"/>
      <c r="AB89" s="2111"/>
      <c r="AC89" s="2111"/>
    </row>
    <row r="90" spans="1:29" ht="14.4" thickBot="1">
      <c r="A90" s="341"/>
      <c r="B90" s="350"/>
      <c r="C90" s="2663">
        <v>100</v>
      </c>
      <c r="D90" s="2663">
        <f>C90-$K17</f>
        <v>100</v>
      </c>
      <c r="E90" s="2663">
        <f>D90-$K17</f>
        <v>100</v>
      </c>
      <c r="F90" s="2663">
        <f>E90-$K17</f>
        <v>100</v>
      </c>
      <c r="G90" s="2663">
        <f>F90-$K17</f>
        <v>100</v>
      </c>
      <c r="H90" s="2663"/>
      <c r="I90" s="2663"/>
      <c r="J90" s="2663"/>
      <c r="K90" s="2663"/>
      <c r="L90" s="351"/>
      <c r="M90" s="352"/>
      <c r="N90" s="2140"/>
      <c r="O90" s="2140"/>
      <c r="P90" s="2164"/>
      <c r="Q90" s="2125"/>
      <c r="R90" s="2111"/>
      <c r="S90" s="2111"/>
      <c r="T90" s="2111"/>
      <c r="U90" s="2111"/>
      <c r="V90" s="2111"/>
      <c r="W90" s="2111"/>
      <c r="X90" s="2111"/>
      <c r="Y90" s="2111"/>
      <c r="Z90" s="2111"/>
      <c r="AA90" s="2111"/>
      <c r="AB90" s="2111"/>
      <c r="AC90" s="2111"/>
    </row>
    <row r="91" spans="1:29" ht="15" thickTop="1">
      <c r="A91" s="341"/>
      <c r="B91" s="345" t="s">
        <v>2275</v>
      </c>
      <c r="C91" s="2676" t="s">
        <v>2175</v>
      </c>
      <c r="D91" s="2676" t="s">
        <v>2176</v>
      </c>
      <c r="E91" s="2676" t="s">
        <v>2177</v>
      </c>
      <c r="F91" s="2676" t="s">
        <v>2178</v>
      </c>
      <c r="G91" s="2676" t="s">
        <v>2179</v>
      </c>
      <c r="H91" s="2661"/>
      <c r="I91" s="2661"/>
      <c r="J91" s="2661"/>
      <c r="K91" s="2662"/>
      <c r="L91" s="348"/>
      <c r="M91" s="349"/>
      <c r="N91" s="2139"/>
      <c r="O91" s="2139"/>
      <c r="P91" s="2164"/>
      <c r="Q91" s="2125"/>
      <c r="R91" s="2111"/>
      <c r="S91" s="2111"/>
      <c r="T91" s="2111"/>
      <c r="U91" s="2111"/>
      <c r="V91" s="2111"/>
      <c r="W91" s="2111"/>
      <c r="X91" s="2111"/>
      <c r="Y91" s="2111"/>
      <c r="Z91" s="2111"/>
      <c r="AA91" s="2111"/>
      <c r="AB91" s="2111"/>
      <c r="AC91" s="2111"/>
    </row>
    <row r="92" spans="1:29" ht="14.4" thickBot="1">
      <c r="A92" s="341"/>
      <c r="B92" s="350"/>
      <c r="C92" s="2663">
        <v>100</v>
      </c>
      <c r="D92" s="2663">
        <f>C92-$K19</f>
        <v>100</v>
      </c>
      <c r="E92" s="2663">
        <f>D92-$K19</f>
        <v>100</v>
      </c>
      <c r="F92" s="2663">
        <f>E92-$K19</f>
        <v>100</v>
      </c>
      <c r="G92" s="2663">
        <f>F92-$K19</f>
        <v>100</v>
      </c>
      <c r="H92" s="2663"/>
      <c r="I92" s="2663"/>
      <c r="J92" s="2663"/>
      <c r="K92" s="2663"/>
      <c r="L92" s="351"/>
      <c r="M92" s="352"/>
      <c r="N92" s="2140"/>
      <c r="O92" s="2140"/>
      <c r="P92" s="2164"/>
      <c r="Q92" s="2125"/>
      <c r="R92" s="2111"/>
      <c r="S92" s="2111"/>
      <c r="T92" s="2111"/>
      <c r="U92" s="2111"/>
      <c r="V92" s="2111"/>
      <c r="W92" s="2111"/>
      <c r="X92" s="2111"/>
      <c r="Y92" s="2111"/>
      <c r="Z92" s="2111"/>
      <c r="AA92" s="2111"/>
      <c r="AB92" s="2111"/>
      <c r="AC92" s="2111"/>
    </row>
    <row r="93" spans="1:29" ht="15" thickTop="1">
      <c r="A93" s="341"/>
      <c r="B93" s="345" t="s">
        <v>2180</v>
      </c>
      <c r="C93" s="2676" t="s">
        <v>2175</v>
      </c>
      <c r="D93" s="2676" t="s">
        <v>2176</v>
      </c>
      <c r="E93" s="2676" t="s">
        <v>2177</v>
      </c>
      <c r="F93" s="2676" t="s">
        <v>2178</v>
      </c>
      <c r="G93" s="2676" t="s">
        <v>2179</v>
      </c>
      <c r="H93" s="2661"/>
      <c r="I93" s="2661"/>
      <c r="J93" s="2661"/>
      <c r="K93" s="2662"/>
      <c r="L93" s="348"/>
      <c r="M93" s="349"/>
      <c r="N93" s="2139"/>
      <c r="O93" s="2139"/>
      <c r="P93" s="2164"/>
      <c r="Q93" s="2125"/>
      <c r="R93" s="2111"/>
      <c r="S93" s="2111"/>
      <c r="T93" s="2111"/>
      <c r="U93" s="2111"/>
      <c r="V93" s="2111"/>
      <c r="W93" s="2111"/>
      <c r="X93" s="2111"/>
      <c r="Y93" s="2111"/>
      <c r="Z93" s="2111"/>
      <c r="AA93" s="2111"/>
      <c r="AB93" s="2111"/>
      <c r="AC93" s="2111"/>
    </row>
    <row r="94" spans="1:29" ht="14.4" thickBot="1">
      <c r="A94" s="341"/>
      <c r="B94" s="350"/>
      <c r="C94" s="2663">
        <v>100</v>
      </c>
      <c r="D94" s="2663">
        <f>C94-$K21</f>
        <v>99</v>
      </c>
      <c r="E94" s="2663">
        <f>D94-$K21</f>
        <v>98</v>
      </c>
      <c r="F94" s="2663">
        <f>E94-$K21</f>
        <v>97</v>
      </c>
      <c r="G94" s="2663">
        <f>F94-$K21</f>
        <v>96</v>
      </c>
      <c r="H94" s="2663"/>
      <c r="I94" s="2663"/>
      <c r="J94" s="2663"/>
      <c r="K94" s="2663"/>
      <c r="L94" s="351"/>
      <c r="M94" s="352"/>
      <c r="N94" s="2140"/>
      <c r="O94" s="2140"/>
      <c r="P94" s="2164"/>
      <c r="Q94" s="2125"/>
      <c r="R94" s="2111"/>
      <c r="S94" s="2111"/>
      <c r="T94" s="2111"/>
      <c r="U94" s="2111"/>
      <c r="V94" s="2111"/>
      <c r="W94" s="2111"/>
      <c r="X94" s="2111"/>
      <c r="Y94" s="2111"/>
      <c r="Z94" s="2111"/>
      <c r="AA94" s="2111"/>
      <c r="AB94" s="2111"/>
      <c r="AC94" s="2111"/>
    </row>
    <row r="95" spans="1:29" s="50" customFormat="1" ht="29.4" thickTop="1">
      <c r="A95" s="386"/>
      <c r="B95" s="345" t="s">
        <v>2362</v>
      </c>
      <c r="C95" s="2676" t="s">
        <v>2175</v>
      </c>
      <c r="D95" s="2676" t="s">
        <v>2176</v>
      </c>
      <c r="E95" s="2676" t="s">
        <v>2177</v>
      </c>
      <c r="F95" s="2676" t="s">
        <v>2178</v>
      </c>
      <c r="G95" s="2676" t="s">
        <v>2179</v>
      </c>
      <c r="H95" s="2676"/>
      <c r="I95" s="2676"/>
      <c r="J95" s="2676"/>
      <c r="K95" s="2676"/>
      <c r="L95" s="470"/>
      <c r="M95" s="423"/>
      <c r="N95" s="2138"/>
      <c r="O95" s="2138"/>
      <c r="P95" s="2164"/>
      <c r="Q95" s="2125"/>
      <c r="R95" s="2068"/>
      <c r="S95" s="2068"/>
      <c r="T95" s="2068"/>
      <c r="U95" s="2068"/>
      <c r="V95" s="2068"/>
      <c r="W95" s="2068"/>
      <c r="X95" s="2068"/>
      <c r="Y95" s="2068"/>
      <c r="Z95" s="2068"/>
      <c r="AA95" s="2068"/>
      <c r="AB95" s="2068"/>
      <c r="AC95" s="2068"/>
    </row>
    <row r="96" spans="1:29" s="50" customFormat="1" ht="14.4" thickBot="1">
      <c r="A96" s="386"/>
      <c r="B96" s="350"/>
      <c r="C96" s="2677">
        <v>100</v>
      </c>
      <c r="D96" s="2663">
        <f>C96-$K23</f>
        <v>99</v>
      </c>
      <c r="E96" s="2663">
        <f>D96-$K23</f>
        <v>98</v>
      </c>
      <c r="F96" s="2663">
        <f>E96-$K23</f>
        <v>97</v>
      </c>
      <c r="G96" s="2663">
        <f>F96-$K23</f>
        <v>96</v>
      </c>
      <c r="H96" s="2663"/>
      <c r="I96" s="2663"/>
      <c r="J96" s="2663"/>
      <c r="K96" s="2663"/>
      <c r="L96" s="351"/>
      <c r="M96" s="352"/>
      <c r="N96" s="2140"/>
      <c r="O96" s="2140"/>
      <c r="P96" s="2164"/>
      <c r="Q96" s="2125"/>
      <c r="R96" s="2068"/>
      <c r="S96" s="2068"/>
      <c r="T96" s="2068"/>
      <c r="U96" s="2068"/>
      <c r="V96" s="2068"/>
      <c r="W96" s="2068"/>
      <c r="X96" s="2068"/>
      <c r="Y96" s="2068"/>
      <c r="Z96" s="2068"/>
      <c r="AA96" s="2068"/>
      <c r="AB96" s="2068"/>
      <c r="AC96" s="2068"/>
    </row>
    <row r="97" spans="1:29" s="50" customFormat="1" ht="29.4" thickTop="1">
      <c r="A97" s="386"/>
      <c r="B97" s="345" t="s">
        <v>2363</v>
      </c>
      <c r="C97" s="2673" t="s">
        <v>2175</v>
      </c>
      <c r="D97" s="2673" t="s">
        <v>2176</v>
      </c>
      <c r="E97" s="2673" t="s">
        <v>2177</v>
      </c>
      <c r="F97" s="2673" t="s">
        <v>2178</v>
      </c>
      <c r="G97" s="2673" t="s">
        <v>2179</v>
      </c>
      <c r="H97" s="2676"/>
      <c r="I97" s="2676"/>
      <c r="J97" s="2676"/>
      <c r="K97" s="2676"/>
      <c r="L97" s="385"/>
      <c r="M97" s="423"/>
      <c r="N97" s="2138"/>
      <c r="O97" s="2138"/>
      <c r="P97" s="2164"/>
      <c r="Q97" s="2125"/>
      <c r="R97" s="2068"/>
      <c r="S97" s="2068"/>
      <c r="T97" s="2068"/>
      <c r="U97" s="2068"/>
      <c r="V97" s="2068"/>
      <c r="W97" s="2068"/>
      <c r="X97" s="2068"/>
      <c r="Y97" s="2068"/>
      <c r="Z97" s="2068"/>
      <c r="AA97" s="2068"/>
      <c r="AB97" s="2068"/>
      <c r="AC97" s="2068"/>
    </row>
    <row r="98" spans="1:29" s="50" customFormat="1" ht="14.4" thickBot="1">
      <c r="A98" s="386"/>
      <c r="B98" s="350"/>
      <c r="C98" s="2663">
        <v>100</v>
      </c>
      <c r="D98" s="2663">
        <f>C98-$K25</f>
        <v>99</v>
      </c>
      <c r="E98" s="2663">
        <f>D98-$K25</f>
        <v>98</v>
      </c>
      <c r="F98" s="2663">
        <f>E98-$K25</f>
        <v>97</v>
      </c>
      <c r="G98" s="2663">
        <f>F98-$K25</f>
        <v>96</v>
      </c>
      <c r="H98" s="2663"/>
      <c r="I98" s="2663"/>
      <c r="J98" s="2663"/>
      <c r="K98" s="2663"/>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 thickTop="1">
      <c r="A99" s="360"/>
      <c r="B99" s="345" t="s">
        <v>2232</v>
      </c>
      <c r="C99" s="2673" t="s">
        <v>2175</v>
      </c>
      <c r="D99" s="2673" t="s">
        <v>2176</v>
      </c>
      <c r="E99" s="2673" t="s">
        <v>2177</v>
      </c>
      <c r="F99" s="2673" t="s">
        <v>2178</v>
      </c>
      <c r="G99" s="2673" t="s">
        <v>2179</v>
      </c>
      <c r="H99" s="2678"/>
      <c r="I99" s="2678"/>
      <c r="J99" s="2678"/>
      <c r="K99" s="2678"/>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4.4" thickBot="1">
      <c r="A100" s="360"/>
      <c r="B100" s="350"/>
      <c r="C100" s="2663">
        <v>100</v>
      </c>
      <c r="D100" s="2663">
        <f>C100-$K27</f>
        <v>99</v>
      </c>
      <c r="E100" s="2663">
        <f>D100-$K27</f>
        <v>98</v>
      </c>
      <c r="F100" s="2663">
        <f>E100-$K27</f>
        <v>97</v>
      </c>
      <c r="G100" s="2663">
        <f>F100-$K27</f>
        <v>96</v>
      </c>
      <c r="H100" s="2679"/>
      <c r="I100" s="2679"/>
      <c r="J100" s="2679"/>
      <c r="K100" s="2679"/>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 thickTop="1">
      <c r="A101" s="360"/>
      <c r="B101" s="353" t="s">
        <v>2233</v>
      </c>
      <c r="C101" s="2680" t="s">
        <v>2253</v>
      </c>
      <c r="D101" s="2680" t="s">
        <v>2254</v>
      </c>
      <c r="E101" s="2680" t="s">
        <v>2255</v>
      </c>
      <c r="F101" s="2680" t="s">
        <v>2256</v>
      </c>
      <c r="G101" s="2680" t="s">
        <v>2257</v>
      </c>
      <c r="H101" s="2678"/>
      <c r="I101" s="2678"/>
      <c r="J101" s="2678"/>
      <c r="K101" s="2678"/>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4.4" thickBot="1">
      <c r="A102" s="360"/>
      <c r="B102" s="353"/>
      <c r="C102" s="2663">
        <v>100</v>
      </c>
      <c r="D102" s="2663">
        <f>C102-$K29</f>
        <v>99</v>
      </c>
      <c r="E102" s="2663">
        <f>D102-$K29</f>
        <v>98</v>
      </c>
      <c r="F102" s="2663">
        <f>E102-$K29</f>
        <v>97</v>
      </c>
      <c r="G102" s="2663">
        <f>F102-$K29</f>
        <v>96</v>
      </c>
      <c r="H102" s="2681"/>
      <c r="I102" s="2681"/>
      <c r="J102" s="2681"/>
      <c r="K102" s="2681"/>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 thickTop="1">
      <c r="A103" s="341"/>
      <c r="B103" s="345" t="str">
        <f>B31</f>
        <v>临街状况</v>
      </c>
      <c r="C103" s="2661" t="s">
        <v>2364</v>
      </c>
      <c r="D103" s="2661" t="s">
        <v>2365</v>
      </c>
      <c r="E103" s="2661" t="s">
        <v>2366</v>
      </c>
      <c r="F103" s="2661" t="s">
        <v>2367</v>
      </c>
      <c r="G103" s="2661"/>
      <c r="H103" s="2661"/>
      <c r="I103" s="2661"/>
      <c r="J103" s="2661"/>
      <c r="K103" s="2662"/>
      <c r="L103" s="348"/>
      <c r="M103" s="349"/>
      <c r="N103" s="2139"/>
      <c r="O103" s="2139"/>
      <c r="P103" s="2164"/>
      <c r="Q103" s="2125"/>
      <c r="R103" s="2111"/>
      <c r="S103" s="2111"/>
      <c r="T103" s="2111"/>
      <c r="U103" s="2111"/>
      <c r="V103" s="2111"/>
      <c r="W103" s="2111"/>
      <c r="X103" s="2111"/>
      <c r="Y103" s="2111"/>
      <c r="Z103" s="2111"/>
      <c r="AA103" s="2111"/>
      <c r="AB103" s="2111"/>
      <c r="AC103" s="2111"/>
    </row>
    <row r="104" spans="1:29" ht="14.4" thickBot="1">
      <c r="A104" s="341"/>
      <c r="B104" s="350"/>
      <c r="C104" s="2663">
        <v>100</v>
      </c>
      <c r="D104" s="2663">
        <f t="shared" ref="D104:M104" si="23">C104-$K31</f>
        <v>100</v>
      </c>
      <c r="E104" s="2663">
        <f t="shared" si="23"/>
        <v>100</v>
      </c>
      <c r="F104" s="2663">
        <f t="shared" si="23"/>
        <v>100</v>
      </c>
      <c r="G104" s="2663">
        <f t="shared" si="23"/>
        <v>100</v>
      </c>
      <c r="H104" s="2663">
        <f t="shared" si="23"/>
        <v>100</v>
      </c>
      <c r="I104" s="2663">
        <f t="shared" si="23"/>
        <v>100</v>
      </c>
      <c r="J104" s="2663">
        <f t="shared" si="23"/>
        <v>100</v>
      </c>
      <c r="K104" s="2663">
        <f t="shared" si="23"/>
        <v>100</v>
      </c>
      <c r="L104" s="2663">
        <f t="shared" si="23"/>
        <v>100</v>
      </c>
      <c r="M104" s="2663">
        <f t="shared" si="23"/>
        <v>100</v>
      </c>
      <c r="N104" s="2140"/>
      <c r="O104" s="2140"/>
      <c r="P104" s="2164"/>
      <c r="Q104" s="2125"/>
      <c r="R104" s="2111"/>
      <c r="S104" s="2111"/>
      <c r="T104" s="2111"/>
      <c r="U104" s="2111"/>
      <c r="V104" s="2111"/>
      <c r="W104" s="2111"/>
      <c r="X104" s="2111"/>
      <c r="Y104" s="2111"/>
      <c r="Z104" s="2111"/>
      <c r="AA104" s="2111"/>
      <c r="AB104" s="2111"/>
      <c r="AC104" s="2111"/>
    </row>
    <row r="105" spans="1:29" ht="29.4" thickTop="1">
      <c r="A105" s="341"/>
      <c r="B105" s="345" t="s">
        <v>2269</v>
      </c>
      <c r="C105" s="2548" t="s">
        <v>3515</v>
      </c>
      <c r="D105" s="2548" t="s">
        <v>3516</v>
      </c>
      <c r="E105" s="2548" t="s">
        <v>3517</v>
      </c>
      <c r="F105" s="2548" t="s">
        <v>3518</v>
      </c>
      <c r="G105" s="2548" t="s">
        <v>3519</v>
      </c>
      <c r="H105" s="2682"/>
      <c r="I105" s="2682"/>
      <c r="J105" s="2682"/>
      <c r="K105" s="2683"/>
      <c r="L105" s="2874"/>
      <c r="M105" s="2875"/>
      <c r="N105" s="2139"/>
      <c r="O105" s="2139"/>
      <c r="P105" s="2164"/>
      <c r="Q105" s="2125"/>
      <c r="R105" s="2111"/>
      <c r="S105" s="2111"/>
      <c r="T105" s="2111"/>
      <c r="U105" s="2111"/>
      <c r="V105" s="2111"/>
      <c r="W105" s="2111"/>
      <c r="X105" s="2111"/>
      <c r="Y105" s="2111"/>
      <c r="Z105" s="2111"/>
      <c r="AA105" s="2111"/>
      <c r="AB105" s="2111"/>
      <c r="AC105" s="2111"/>
    </row>
    <row r="106" spans="1:29" ht="14.4" thickBot="1">
      <c r="A106" s="341"/>
      <c r="B106" s="350"/>
      <c r="C106" s="2663">
        <v>100</v>
      </c>
      <c r="D106" s="2663">
        <f t="shared" ref="D106:M106" si="24">C106-$K32</f>
        <v>100</v>
      </c>
      <c r="E106" s="2663">
        <f t="shared" si="24"/>
        <v>100</v>
      </c>
      <c r="F106" s="2663">
        <f t="shared" si="24"/>
        <v>100</v>
      </c>
      <c r="G106" s="2663">
        <f t="shared" si="24"/>
        <v>100</v>
      </c>
      <c r="H106" s="2663">
        <f t="shared" si="24"/>
        <v>100</v>
      </c>
      <c r="I106" s="2663">
        <f t="shared" si="24"/>
        <v>100</v>
      </c>
      <c r="J106" s="2663">
        <f t="shared" si="24"/>
        <v>100</v>
      </c>
      <c r="K106" s="2663">
        <f t="shared" si="24"/>
        <v>100</v>
      </c>
      <c r="L106" s="2663">
        <f t="shared" si="24"/>
        <v>100</v>
      </c>
      <c r="M106" s="2663">
        <f t="shared" si="24"/>
        <v>100</v>
      </c>
      <c r="N106" s="2140"/>
      <c r="O106" s="2140"/>
      <c r="P106" s="2164"/>
      <c r="Q106" s="2125"/>
      <c r="R106" s="2111"/>
      <c r="S106" s="2111"/>
      <c r="T106" s="2111"/>
      <c r="U106" s="2111"/>
      <c r="V106" s="2111"/>
      <c r="W106" s="2111"/>
      <c r="X106" s="2111"/>
      <c r="Y106" s="2111"/>
      <c r="Z106" s="2111"/>
      <c r="AA106" s="2111"/>
      <c r="AB106" s="2111"/>
      <c r="AC106" s="2111"/>
    </row>
    <row r="107" spans="1:29" ht="15" thickTop="1">
      <c r="A107" s="341"/>
      <c r="B107" s="345" t="s">
        <v>2328</v>
      </c>
      <c r="C107" s="2682"/>
      <c r="D107" s="2682"/>
      <c r="E107" s="2682"/>
      <c r="F107" s="2682"/>
      <c r="G107" s="2682"/>
      <c r="H107" s="2682"/>
      <c r="I107" s="2682"/>
      <c r="J107" s="2682"/>
      <c r="K107" s="2683"/>
      <c r="L107" s="2874"/>
      <c r="M107" s="2875"/>
      <c r="N107" s="2139"/>
      <c r="O107" s="2139"/>
      <c r="P107" s="2164"/>
      <c r="Q107" s="2125"/>
      <c r="R107" s="2111"/>
      <c r="S107" s="2111"/>
      <c r="T107" s="2111"/>
      <c r="U107" s="2111"/>
      <c r="V107" s="2111"/>
      <c r="W107" s="2111"/>
      <c r="X107" s="2111"/>
      <c r="Y107" s="2111"/>
      <c r="Z107" s="2111"/>
      <c r="AA107" s="2111"/>
      <c r="AB107" s="2111"/>
      <c r="AC107" s="2111"/>
    </row>
    <row r="108" spans="1:29" ht="14.4" thickBot="1">
      <c r="A108" s="341"/>
      <c r="B108" s="350"/>
      <c r="C108" s="2663">
        <v>100</v>
      </c>
      <c r="D108" s="2663">
        <f t="shared" ref="D108:M108" si="25">C108-$K34</f>
        <v>100</v>
      </c>
      <c r="E108" s="2663">
        <f t="shared" si="25"/>
        <v>100</v>
      </c>
      <c r="F108" s="2663">
        <f t="shared" si="25"/>
        <v>100</v>
      </c>
      <c r="G108" s="2663">
        <f t="shared" si="25"/>
        <v>100</v>
      </c>
      <c r="H108" s="2663">
        <f t="shared" si="25"/>
        <v>100</v>
      </c>
      <c r="I108" s="2663">
        <f t="shared" si="25"/>
        <v>100</v>
      </c>
      <c r="J108" s="2663">
        <f t="shared" si="25"/>
        <v>100</v>
      </c>
      <c r="K108" s="2663">
        <f t="shared" si="25"/>
        <v>100</v>
      </c>
      <c r="L108" s="2663">
        <f t="shared" si="25"/>
        <v>100</v>
      </c>
      <c r="M108" s="2663">
        <f t="shared" si="25"/>
        <v>100</v>
      </c>
      <c r="N108" s="2140"/>
      <c r="O108" s="2140"/>
      <c r="P108" s="2164"/>
      <c r="Q108" s="2125"/>
      <c r="R108" s="2111"/>
      <c r="S108" s="2111"/>
      <c r="T108" s="2111"/>
      <c r="U108" s="2111"/>
      <c r="V108" s="2111"/>
      <c r="W108" s="2111"/>
      <c r="X108" s="2111"/>
      <c r="Y108" s="2111"/>
      <c r="Z108" s="2111"/>
      <c r="AA108" s="2111"/>
      <c r="AB108" s="2111"/>
      <c r="AC108" s="2111"/>
    </row>
    <row r="109" spans="1:29" ht="14.4" thickTop="1">
      <c r="A109" s="341"/>
      <c r="B109" s="353">
        <f>B35</f>
        <v>111</v>
      </c>
      <c r="C109" s="2666"/>
      <c r="D109" s="2666"/>
      <c r="E109" s="2666"/>
      <c r="F109" s="2666"/>
      <c r="G109" s="2684"/>
      <c r="H109" s="2684"/>
      <c r="I109" s="2684"/>
      <c r="J109" s="2684"/>
      <c r="K109" s="2685"/>
      <c r="L109" s="2876"/>
      <c r="M109" s="2877"/>
      <c r="N109" s="2139"/>
      <c r="O109" s="2139"/>
      <c r="P109" s="2164"/>
      <c r="Q109" s="2125"/>
      <c r="R109" s="2111"/>
      <c r="S109" s="2111"/>
      <c r="T109" s="2111"/>
      <c r="U109" s="2111"/>
      <c r="V109" s="2111"/>
      <c r="W109" s="2111"/>
      <c r="X109" s="2111"/>
      <c r="Y109" s="2111"/>
      <c r="Z109" s="2111"/>
      <c r="AA109" s="2111"/>
      <c r="AB109" s="2111"/>
      <c r="AC109" s="2111"/>
    </row>
    <row r="110" spans="1:29" ht="14.4" thickBot="1">
      <c r="A110" s="341"/>
      <c r="B110" s="376"/>
      <c r="C110" s="2668"/>
      <c r="D110" s="2668"/>
      <c r="E110" s="2668"/>
      <c r="F110" s="2668"/>
      <c r="G110" s="2686"/>
      <c r="H110" s="2686"/>
      <c r="I110" s="2686"/>
      <c r="J110" s="2686"/>
      <c r="K110" s="2686"/>
      <c r="L110" s="2686"/>
      <c r="M110" s="2878"/>
      <c r="N110" s="2140"/>
      <c r="O110" s="2140"/>
      <c r="P110" s="2164"/>
      <c r="Q110" s="2125"/>
      <c r="R110" s="2111"/>
      <c r="S110" s="2111"/>
      <c r="T110" s="2111"/>
      <c r="U110" s="2111"/>
      <c r="V110" s="2111"/>
      <c r="W110" s="2111"/>
      <c r="X110" s="2111"/>
      <c r="Y110" s="2111"/>
      <c r="Z110" s="2111"/>
      <c r="AA110" s="2111"/>
      <c r="AB110" s="2111"/>
      <c r="AC110" s="2111"/>
    </row>
    <row r="111" spans="1:29" ht="14.4" thickTop="1">
      <c r="A111" s="448"/>
      <c r="B111" s="345">
        <f>B36</f>
        <v>111</v>
      </c>
      <c r="C111" s="2654"/>
      <c r="D111" s="2654"/>
      <c r="E111" s="2654"/>
      <c r="F111" s="2654"/>
      <c r="G111" s="2682"/>
      <c r="H111" s="2682"/>
      <c r="I111" s="2682"/>
      <c r="J111" s="2682"/>
      <c r="K111" s="2683"/>
      <c r="L111" s="2874"/>
      <c r="M111" s="2875"/>
      <c r="N111" s="2139"/>
      <c r="O111" s="2139"/>
      <c r="P111" s="2164"/>
      <c r="Q111" s="2125"/>
      <c r="R111" s="2111"/>
      <c r="S111" s="2111"/>
      <c r="T111" s="2111"/>
      <c r="U111" s="2111"/>
      <c r="V111" s="2111"/>
      <c r="W111" s="2111"/>
      <c r="X111" s="2111"/>
      <c r="Y111" s="2111"/>
      <c r="Z111" s="2111"/>
      <c r="AA111" s="2111"/>
      <c r="AB111" s="2111"/>
      <c r="AC111" s="2111"/>
    </row>
    <row r="112" spans="1:29" ht="14.4" thickBot="1">
      <c r="A112" s="341"/>
      <c r="B112" s="350"/>
      <c r="C112" s="2671"/>
      <c r="D112" s="2671"/>
      <c r="E112" s="2671"/>
      <c r="F112" s="2671"/>
      <c r="G112" s="2660"/>
      <c r="H112" s="2660"/>
      <c r="I112" s="2660"/>
      <c r="J112" s="2660"/>
      <c r="K112" s="2660"/>
      <c r="L112" s="2660"/>
      <c r="M112" s="2842"/>
      <c r="N112" s="2140"/>
      <c r="O112" s="2140"/>
      <c r="P112" s="2164"/>
      <c r="Q112" s="2125"/>
      <c r="R112" s="2111"/>
      <c r="S112" s="2111"/>
      <c r="T112" s="2111"/>
      <c r="U112" s="2111"/>
      <c r="V112" s="2111"/>
      <c r="W112" s="2111"/>
      <c r="X112" s="2111"/>
      <c r="Y112" s="2111"/>
      <c r="Z112" s="2111"/>
      <c r="AA112" s="2111"/>
      <c r="AB112" s="2111"/>
      <c r="AC112" s="2111"/>
    </row>
    <row r="113" spans="1:29" s="282" customFormat="1" ht="14.4" thickTop="1">
      <c r="A113" s="400"/>
      <c r="B113" s="401">
        <f>B37</f>
        <v>111</v>
      </c>
      <c r="C113" s="2650"/>
      <c r="D113" s="2650"/>
      <c r="E113" s="2650"/>
      <c r="F113" s="2650"/>
      <c r="G113" s="2650"/>
      <c r="H113" s="2650"/>
      <c r="I113" s="2650"/>
      <c r="J113" s="2687"/>
      <c r="K113" s="2687"/>
      <c r="L113" s="2880"/>
      <c r="M113" s="2881"/>
      <c r="N113" s="2141"/>
      <c r="O113" s="2141"/>
      <c r="P113" s="2165"/>
      <c r="Q113" s="2132"/>
      <c r="R113" s="2133"/>
      <c r="S113" s="2133"/>
      <c r="T113" s="2133"/>
      <c r="U113" s="2133"/>
      <c r="V113" s="2133"/>
      <c r="W113" s="2133"/>
      <c r="X113" s="2133"/>
      <c r="Y113" s="2133"/>
      <c r="Z113" s="2133"/>
      <c r="AA113" s="2133"/>
      <c r="AB113" s="2133"/>
      <c r="AC113" s="2133"/>
    </row>
    <row r="114" spans="1:29" s="282" customFormat="1" ht="14.4" thickBot="1">
      <c r="A114" s="360"/>
      <c r="B114" s="353"/>
      <c r="C114" s="2656"/>
      <c r="D114" s="2688"/>
      <c r="E114" s="2688"/>
      <c r="F114" s="2688"/>
      <c r="G114" s="2688"/>
      <c r="H114" s="2688"/>
      <c r="I114" s="2688"/>
      <c r="J114" s="2688"/>
      <c r="K114" s="2688"/>
      <c r="L114" s="2688"/>
      <c r="M114" s="3581"/>
      <c r="N114" s="2140"/>
      <c r="O114" s="2140"/>
      <c r="P114" s="2165"/>
      <c r="Q114" s="2132"/>
      <c r="R114" s="2133"/>
      <c r="S114" s="2133"/>
      <c r="T114" s="2133"/>
      <c r="U114" s="2133"/>
      <c r="V114" s="2133"/>
      <c r="W114" s="2133"/>
      <c r="X114" s="2133"/>
      <c r="Y114" s="2133"/>
      <c r="Z114" s="2133"/>
      <c r="AA114" s="2133"/>
      <c r="AB114" s="2133"/>
      <c r="AC114" s="2133"/>
    </row>
    <row r="115" spans="1:29" ht="41.4">
      <c r="A115" s="334" t="s">
        <v>2141</v>
      </c>
      <c r="B115" s="335" t="s">
        <v>2368</v>
      </c>
      <c r="C115" s="2674" t="str">
        <f>C116&amp;"(含)"&amp;"-"&amp;D116</f>
        <v>0(含)-30000</v>
      </c>
      <c r="D115" s="2674" t="str">
        <f t="shared" ref="D115:M115" si="26">D116&amp;"(含)"&amp;"-"&amp;E116</f>
        <v>30000(含)-60000</v>
      </c>
      <c r="E115" s="2674" t="str">
        <f t="shared" si="26"/>
        <v>60000(含)-90000</v>
      </c>
      <c r="F115" s="2674" t="str">
        <f t="shared" si="26"/>
        <v>90000(含)-</v>
      </c>
      <c r="G115" s="2674" t="str">
        <f t="shared" si="26"/>
        <v>(含)-</v>
      </c>
      <c r="H115" s="2674" t="str">
        <f t="shared" si="26"/>
        <v>(含)-</v>
      </c>
      <c r="I115" s="2674" t="str">
        <f t="shared" si="26"/>
        <v>(含)-</v>
      </c>
      <c r="J115" s="2674" t="str">
        <f t="shared" si="26"/>
        <v>(含)-</v>
      </c>
      <c r="K115" s="2674" t="str">
        <f t="shared" si="26"/>
        <v>(含)-</v>
      </c>
      <c r="L115" s="3086" t="str">
        <f t="shared" si="26"/>
        <v>(含)-</v>
      </c>
      <c r="M115" s="3086" t="str">
        <f t="shared" si="26"/>
        <v>(含)-</v>
      </c>
      <c r="N115" s="2139"/>
      <c r="O115" s="2139"/>
      <c r="P115" s="2164"/>
      <c r="Q115" s="2125"/>
      <c r="R115" s="2111"/>
      <c r="S115" s="2111"/>
      <c r="T115" s="2111"/>
      <c r="U115" s="2111"/>
      <c r="V115" s="2111"/>
      <c r="W115" s="2111"/>
      <c r="X115" s="2111"/>
      <c r="Y115" s="2111"/>
      <c r="Z115" s="2111"/>
      <c r="AA115" s="2111"/>
      <c r="AB115" s="2111"/>
      <c r="AC115" s="2111"/>
    </row>
    <row r="116" spans="1:29">
      <c r="A116" s="341"/>
      <c r="B116" s="353"/>
      <c r="C116" s="2650">
        <v>0</v>
      </c>
      <c r="D116" s="2650">
        <v>30000</v>
      </c>
      <c r="E116" s="2650">
        <v>60000</v>
      </c>
      <c r="F116" s="2689">
        <v>90000</v>
      </c>
      <c r="G116" s="2650"/>
      <c r="H116" s="2650"/>
      <c r="I116" s="2650"/>
      <c r="J116" s="2690"/>
      <c r="K116" s="2690"/>
      <c r="L116" s="2689"/>
      <c r="M116" s="2881"/>
      <c r="N116" s="2139"/>
      <c r="O116" s="2139"/>
      <c r="P116" s="2164"/>
      <c r="Q116" s="2125"/>
      <c r="R116" s="2111"/>
      <c r="S116" s="2111"/>
      <c r="T116" s="2111"/>
      <c r="U116" s="2111"/>
      <c r="V116" s="2111"/>
      <c r="W116" s="2111"/>
      <c r="X116" s="2111"/>
      <c r="Y116" s="2111"/>
      <c r="Z116" s="2111"/>
      <c r="AA116" s="2111"/>
      <c r="AB116" s="2111"/>
      <c r="AC116" s="2111"/>
    </row>
    <row r="117" spans="1:29" ht="14.4" thickBot="1">
      <c r="A117" s="341"/>
      <c r="B117" s="350"/>
      <c r="C117" s="2671">
        <v>100</v>
      </c>
      <c r="D117" s="2686">
        <f>C117+2</f>
        <v>102</v>
      </c>
      <c r="E117" s="2686">
        <f t="shared" ref="E117:F117" si="27">D117+2</f>
        <v>104</v>
      </c>
      <c r="F117" s="2686">
        <f t="shared" si="27"/>
        <v>106</v>
      </c>
      <c r="G117" s="2686"/>
      <c r="H117" s="2686"/>
      <c r="I117" s="2686"/>
      <c r="J117" s="2686"/>
      <c r="K117" s="2686"/>
      <c r="L117" s="2686"/>
      <c r="M117" s="2878"/>
      <c r="N117" s="2140"/>
      <c r="O117" s="2140"/>
      <c r="P117" s="2164"/>
      <c r="Q117" s="2125"/>
      <c r="R117" s="2111"/>
      <c r="S117" s="2111"/>
      <c r="T117" s="2111"/>
      <c r="U117" s="2111"/>
      <c r="V117" s="2111"/>
      <c r="W117" s="2111"/>
      <c r="X117" s="2111"/>
      <c r="Y117" s="2111"/>
      <c r="Z117" s="2111"/>
      <c r="AA117" s="2111"/>
      <c r="AB117" s="2111"/>
      <c r="AC117" s="2111"/>
    </row>
    <row r="118" spans="1:29" ht="29.4" thickTop="1">
      <c r="A118" s="406"/>
      <c r="B118" s="345" t="s">
        <v>2369</v>
      </c>
      <c r="C118" s="2691" t="s">
        <v>3520</v>
      </c>
      <c r="D118" s="2691" t="s">
        <v>3521</v>
      </c>
      <c r="E118" s="2691" t="s">
        <v>3522</v>
      </c>
      <c r="F118" s="2691" t="s">
        <v>3523</v>
      </c>
      <c r="G118" s="2691" t="s">
        <v>3524</v>
      </c>
      <c r="H118" s="2682"/>
      <c r="I118" s="2682"/>
      <c r="J118" s="2682"/>
      <c r="K118" s="2683"/>
      <c r="L118" s="2874"/>
      <c r="M118" s="2875"/>
      <c r="N118" s="2139"/>
      <c r="O118" s="2139"/>
      <c r="P118" s="2164"/>
      <c r="Q118" s="2125"/>
      <c r="R118" s="2111"/>
      <c r="S118" s="2111"/>
      <c r="T118" s="2111"/>
      <c r="U118" s="2111"/>
      <c r="V118" s="2111"/>
      <c r="W118" s="2111"/>
      <c r="X118" s="2111"/>
      <c r="Y118" s="2111"/>
      <c r="Z118" s="2111"/>
      <c r="AA118" s="2111"/>
      <c r="AB118" s="2111"/>
      <c r="AC118" s="2111"/>
    </row>
    <row r="119" spans="1:29" ht="14.4" thickBot="1">
      <c r="A119" s="341"/>
      <c r="B119" s="350"/>
      <c r="C119" s="2663">
        <v>100</v>
      </c>
      <c r="D119" s="2663">
        <f t="shared" ref="D119:M119" si="28">C119-$K39</f>
        <v>99</v>
      </c>
      <c r="E119" s="2663">
        <f t="shared" si="28"/>
        <v>98</v>
      </c>
      <c r="F119" s="2663">
        <f t="shared" si="28"/>
        <v>97</v>
      </c>
      <c r="G119" s="2663">
        <f t="shared" si="28"/>
        <v>96</v>
      </c>
      <c r="H119" s="2663">
        <f t="shared" si="28"/>
        <v>95</v>
      </c>
      <c r="I119" s="2663">
        <f t="shared" si="28"/>
        <v>94</v>
      </c>
      <c r="J119" s="2663">
        <f t="shared" si="28"/>
        <v>93</v>
      </c>
      <c r="K119" s="2663">
        <f t="shared" si="28"/>
        <v>92</v>
      </c>
      <c r="L119" s="2663">
        <f t="shared" si="28"/>
        <v>91</v>
      </c>
      <c r="M119" s="2848">
        <f t="shared" si="28"/>
        <v>90</v>
      </c>
      <c r="N119" s="2140"/>
      <c r="O119" s="2140"/>
      <c r="P119" s="2164"/>
      <c r="Q119" s="2125"/>
      <c r="R119" s="2111"/>
      <c r="S119" s="2111"/>
      <c r="T119" s="2111"/>
      <c r="U119" s="2111"/>
      <c r="V119" s="2111"/>
      <c r="W119" s="2111"/>
      <c r="X119" s="2111"/>
      <c r="Y119" s="2111"/>
      <c r="Z119" s="2111"/>
      <c r="AA119" s="2111"/>
      <c r="AB119" s="2111"/>
      <c r="AC119" s="2111"/>
    </row>
    <row r="120" spans="1:29" ht="29.4" thickTop="1">
      <c r="A120" s="406"/>
      <c r="B120" s="345" t="s">
        <v>2370</v>
      </c>
      <c r="C120" s="2548" t="s">
        <v>3525</v>
      </c>
      <c r="D120" s="2548" t="s">
        <v>3526</v>
      </c>
      <c r="E120" s="2548" t="s">
        <v>3522</v>
      </c>
      <c r="F120" s="2691" t="s">
        <v>3527</v>
      </c>
      <c r="G120" s="2691" t="s">
        <v>3528</v>
      </c>
      <c r="H120" s="2682"/>
      <c r="I120" s="2682"/>
      <c r="J120" s="2682"/>
      <c r="K120" s="2683"/>
      <c r="L120" s="2874"/>
      <c r="M120" s="2875"/>
      <c r="N120" s="2139"/>
      <c r="O120" s="2139"/>
      <c r="P120" s="2164"/>
      <c r="Q120" s="2125"/>
      <c r="R120" s="2111"/>
      <c r="S120" s="2111"/>
      <c r="T120" s="2111"/>
      <c r="U120" s="2111"/>
      <c r="V120" s="2111"/>
      <c r="W120" s="2111"/>
      <c r="X120" s="2111"/>
      <c r="Y120" s="2111"/>
      <c r="Z120" s="2111"/>
      <c r="AA120" s="2111"/>
      <c r="AB120" s="2111"/>
      <c r="AC120" s="2111"/>
    </row>
    <row r="121" spans="1:29" ht="14.4" thickBot="1">
      <c r="A121" s="341"/>
      <c r="B121" s="350"/>
      <c r="C121" s="2663">
        <v>100</v>
      </c>
      <c r="D121" s="2663">
        <f t="shared" ref="D121:M121" si="29">C121-$K40</f>
        <v>99</v>
      </c>
      <c r="E121" s="2663">
        <f t="shared" si="29"/>
        <v>98</v>
      </c>
      <c r="F121" s="2663">
        <f t="shared" si="29"/>
        <v>97</v>
      </c>
      <c r="G121" s="2663">
        <f t="shared" si="29"/>
        <v>96</v>
      </c>
      <c r="H121" s="2663">
        <f t="shared" si="29"/>
        <v>95</v>
      </c>
      <c r="I121" s="2663">
        <f t="shared" si="29"/>
        <v>94</v>
      </c>
      <c r="J121" s="2663">
        <f t="shared" si="29"/>
        <v>93</v>
      </c>
      <c r="K121" s="2663">
        <f t="shared" si="29"/>
        <v>92</v>
      </c>
      <c r="L121" s="2663">
        <f t="shared" si="29"/>
        <v>91</v>
      </c>
      <c r="M121" s="2848">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2" t="str">
        <f>C101</f>
        <v>七通</v>
      </c>
      <c r="D122" s="2692" t="str">
        <f>D101</f>
        <v>六通</v>
      </c>
      <c r="E122" s="2692" t="str">
        <f>E101</f>
        <v>五通</v>
      </c>
      <c r="F122" s="2692" t="str">
        <f>F101</f>
        <v>四通</v>
      </c>
      <c r="G122" s="2692" t="str">
        <f>G101</f>
        <v>三通</v>
      </c>
      <c r="H122" s="2682"/>
      <c r="I122" s="2682"/>
      <c r="J122" s="2682"/>
      <c r="K122" s="2683"/>
      <c r="L122" s="2874"/>
      <c r="M122" s="2875"/>
      <c r="N122" s="2141"/>
      <c r="O122" s="2141"/>
      <c r="P122" s="2165"/>
      <c r="Q122" s="2132"/>
      <c r="R122" s="2133"/>
      <c r="S122" s="2133"/>
      <c r="T122" s="2133"/>
      <c r="U122" s="2133"/>
      <c r="V122" s="2133"/>
      <c r="W122" s="2133"/>
      <c r="X122" s="2133"/>
      <c r="Y122" s="2133"/>
      <c r="Z122" s="2133"/>
      <c r="AA122" s="2133"/>
      <c r="AB122" s="2133"/>
      <c r="AC122" s="2133"/>
    </row>
    <row r="123" spans="1:29" s="282" customFormat="1" ht="14.4" thickBot="1">
      <c r="A123" s="360"/>
      <c r="B123" s="350"/>
      <c r="C123" s="2663">
        <v>100</v>
      </c>
      <c r="D123" s="2663">
        <f t="shared" ref="D123:M123" si="30">C123-$K41</f>
        <v>99</v>
      </c>
      <c r="E123" s="2663">
        <f t="shared" si="30"/>
        <v>98</v>
      </c>
      <c r="F123" s="2663">
        <f t="shared" si="30"/>
        <v>97</v>
      </c>
      <c r="G123" s="2663">
        <f t="shared" si="30"/>
        <v>96</v>
      </c>
      <c r="H123" s="2663">
        <f t="shared" si="30"/>
        <v>95</v>
      </c>
      <c r="I123" s="2663">
        <f t="shared" si="30"/>
        <v>94</v>
      </c>
      <c r="J123" s="2663">
        <f t="shared" si="30"/>
        <v>93</v>
      </c>
      <c r="K123" s="2663">
        <f t="shared" si="30"/>
        <v>92</v>
      </c>
      <c r="L123" s="2663">
        <f t="shared" si="30"/>
        <v>91</v>
      </c>
      <c r="M123" s="2848">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6" t="str">
        <f>C99</f>
        <v>好</v>
      </c>
      <c r="D124" s="2666" t="str">
        <f>D99</f>
        <v>较好</v>
      </c>
      <c r="E124" s="2666" t="str">
        <f>E99</f>
        <v>一般</v>
      </c>
      <c r="F124" s="2666" t="str">
        <f>F99</f>
        <v>较差</v>
      </c>
      <c r="G124" s="2666" t="str">
        <f>G99</f>
        <v>差</v>
      </c>
      <c r="H124" s="2682"/>
      <c r="I124" s="2682"/>
      <c r="J124" s="2682"/>
      <c r="K124" s="2683"/>
      <c r="L124" s="392"/>
      <c r="M124" s="393"/>
      <c r="N124" s="2139"/>
      <c r="O124" s="2139"/>
      <c r="P124" s="2164"/>
      <c r="Q124" s="2125"/>
      <c r="R124" s="2111"/>
      <c r="S124" s="2111"/>
      <c r="T124" s="2111"/>
      <c r="U124" s="2111"/>
      <c r="V124" s="2111"/>
      <c r="W124" s="2111"/>
      <c r="X124" s="2111"/>
      <c r="Y124" s="2111"/>
      <c r="Z124" s="2111"/>
      <c r="AA124" s="2111"/>
      <c r="AB124" s="2111"/>
      <c r="AC124" s="2111"/>
    </row>
    <row r="125" spans="1:29" ht="14.4" thickBot="1">
      <c r="A125" s="341"/>
      <c r="B125" s="350"/>
      <c r="C125" s="2663">
        <v>100</v>
      </c>
      <c r="D125" s="2663">
        <f t="shared" ref="D125:M125" si="31">C125-$K42</f>
        <v>99</v>
      </c>
      <c r="E125" s="2663">
        <f t="shared" si="31"/>
        <v>98</v>
      </c>
      <c r="F125" s="2663">
        <f t="shared" si="31"/>
        <v>97</v>
      </c>
      <c r="G125" s="2663">
        <f t="shared" si="31"/>
        <v>96</v>
      </c>
      <c r="H125" s="2663">
        <f t="shared" si="31"/>
        <v>95</v>
      </c>
      <c r="I125" s="2663">
        <f t="shared" si="31"/>
        <v>94</v>
      </c>
      <c r="J125" s="2663">
        <f t="shared" si="31"/>
        <v>93</v>
      </c>
      <c r="K125" s="2663">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4.4" thickTop="1">
      <c r="A126" s="406"/>
      <c r="B126" s="345">
        <f>B43</f>
        <v>111</v>
      </c>
      <c r="C126" s="2666"/>
      <c r="D126" s="2666"/>
      <c r="E126" s="2666"/>
      <c r="F126" s="2666"/>
      <c r="G126" s="2666"/>
      <c r="H126" s="2682"/>
      <c r="I126" s="2682"/>
      <c r="J126" s="2682"/>
      <c r="K126" s="2683"/>
      <c r="L126" s="392"/>
      <c r="M126" s="393"/>
      <c r="N126" s="2139"/>
      <c r="O126" s="2139"/>
      <c r="P126" s="2164"/>
      <c r="Q126" s="2125"/>
      <c r="R126" s="2111"/>
      <c r="S126" s="2111"/>
      <c r="T126" s="2111"/>
      <c r="U126" s="2111"/>
      <c r="V126" s="2111"/>
      <c r="W126" s="2111"/>
      <c r="X126" s="2111"/>
      <c r="Y126" s="2111"/>
      <c r="Z126" s="2111"/>
      <c r="AA126" s="2111"/>
      <c r="AB126" s="2111"/>
      <c r="AC126" s="2111"/>
    </row>
    <row r="127" spans="1:29" ht="14.4" thickBot="1">
      <c r="A127" s="341"/>
      <c r="B127" s="350"/>
      <c r="C127" s="2668"/>
      <c r="D127" s="2668"/>
      <c r="E127" s="2668"/>
      <c r="F127" s="2668"/>
      <c r="G127" s="2660"/>
      <c r="H127" s="2660"/>
      <c r="I127" s="2660"/>
      <c r="J127" s="2660"/>
      <c r="K127" s="2660"/>
      <c r="L127" s="343"/>
      <c r="M127" s="344"/>
      <c r="N127" s="2140"/>
      <c r="O127" s="2140"/>
      <c r="P127" s="2164"/>
      <c r="Q127" s="2125"/>
      <c r="R127" s="2111"/>
      <c r="S127" s="2111"/>
      <c r="T127" s="2111"/>
      <c r="U127" s="2111"/>
      <c r="V127" s="2111"/>
      <c r="W127" s="2111"/>
      <c r="X127" s="2111"/>
      <c r="Y127" s="2111"/>
      <c r="Z127" s="2111"/>
      <c r="AA127" s="2111"/>
      <c r="AB127" s="2111"/>
      <c r="AC127" s="2111"/>
    </row>
    <row r="128" spans="1:29" ht="14.4" thickTop="1">
      <c r="A128" s="406"/>
      <c r="B128" s="345">
        <f>B44</f>
        <v>111</v>
      </c>
      <c r="C128" s="2654"/>
      <c r="D128" s="2654"/>
      <c r="E128" s="2654"/>
      <c r="F128" s="2654"/>
      <c r="G128" s="2682"/>
      <c r="H128" s="2682"/>
      <c r="I128" s="2682"/>
      <c r="J128" s="2682"/>
      <c r="K128" s="2683"/>
      <c r="L128" s="392"/>
      <c r="M128" s="393"/>
      <c r="N128" s="2139"/>
      <c r="O128" s="2139"/>
      <c r="P128" s="2164"/>
      <c r="Q128" s="2125"/>
      <c r="R128" s="2111"/>
      <c r="S128" s="2111"/>
      <c r="T128" s="2111"/>
      <c r="U128" s="2111"/>
      <c r="V128" s="2111"/>
      <c r="W128" s="2111"/>
      <c r="X128" s="2111"/>
      <c r="Y128" s="2111"/>
      <c r="Z128" s="2111"/>
      <c r="AA128" s="2111"/>
      <c r="AB128" s="2111"/>
      <c r="AC128" s="2111"/>
    </row>
    <row r="129" spans="1:29" ht="14.4" thickBot="1">
      <c r="A129" s="341"/>
      <c r="B129" s="350"/>
      <c r="C129" s="2671"/>
      <c r="D129" s="2671"/>
      <c r="E129" s="2671"/>
      <c r="F129" s="2671"/>
      <c r="G129" s="2660"/>
      <c r="H129" s="2660"/>
      <c r="I129" s="2660"/>
      <c r="J129" s="2660"/>
      <c r="K129" s="2660"/>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4.4" thickTop="1">
      <c r="A130" s="400"/>
      <c r="B130" s="345">
        <f>B45</f>
        <v>111</v>
      </c>
      <c r="C130" s="2654"/>
      <c r="D130" s="2654"/>
      <c r="E130" s="2654"/>
      <c r="F130" s="2654"/>
      <c r="G130" s="2667"/>
      <c r="H130" s="2667"/>
      <c r="I130" s="2667"/>
      <c r="J130" s="2667"/>
      <c r="K130" s="2667"/>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4.4" thickBot="1">
      <c r="A131" s="375"/>
      <c r="B131" s="472"/>
      <c r="C131" s="2671"/>
      <c r="D131" s="2671"/>
      <c r="E131" s="2671"/>
      <c r="F131" s="2671"/>
      <c r="G131" s="2686"/>
      <c r="H131" s="2686"/>
      <c r="I131" s="2686"/>
      <c r="J131" s="2686"/>
      <c r="K131" s="2686"/>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04" customWidth="1"/>
    <col min="2" max="9" width="10" style="704" customWidth="1"/>
    <col min="10" max="16384" width="9" style="704"/>
  </cols>
  <sheetData>
    <row r="36" spans="1:9">
      <c r="A36" s="703" t="s">
        <v>637</v>
      </c>
      <c r="B36" s="703" t="s">
        <v>638</v>
      </c>
    </row>
    <row r="37" spans="1:9" ht="27.75" customHeight="1">
      <c r="A37" s="703"/>
      <c r="B37" s="3617" t="str">
        <f>项目基本情况!B1</f>
        <v>北京市朝阳区金盏乡小店村3005-02地块R2二类居住用地出让国有建设用地使用权及在建建筑物房地产抵押价值预评估</v>
      </c>
      <c r="C37" s="3617"/>
      <c r="D37" s="3617"/>
      <c r="E37" s="3617"/>
      <c r="F37" s="3617"/>
      <c r="G37" s="3617"/>
      <c r="H37" s="3617"/>
      <c r="I37" s="3617"/>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4.4"/>
  <cols>
    <col min="1" max="1" width="24.6640625" style="3573" customWidth="1"/>
    <col min="2" max="2" width="8.88671875" style="3573" customWidth="1"/>
    <col min="3" max="3" width="20" style="3573" customWidth="1"/>
    <col min="4" max="4" width="8.109375" style="3573" hidden="1" customWidth="1"/>
    <col min="5" max="5" width="10" style="3573" hidden="1" customWidth="1"/>
    <col min="6" max="6" width="20" style="3573" customWidth="1"/>
    <col min="7" max="8" width="20" style="3573" hidden="1" customWidth="1"/>
    <col min="9" max="9" width="12.88671875" style="3573" customWidth="1"/>
    <col min="10" max="10" width="11.6640625" style="3573" customWidth="1"/>
    <col min="11" max="11" width="20" style="3573" customWidth="1"/>
    <col min="12" max="12" width="11.109375" style="3573" customWidth="1"/>
    <col min="13" max="24" width="20" style="3573" customWidth="1"/>
    <col min="25" max="27" width="20" style="2423" customWidth="1"/>
    <col min="28" max="48" width="20" style="3573" customWidth="1"/>
    <col min="49" max="49" width="20" style="3577" customWidth="1"/>
    <col min="50" max="51" width="20" style="3573" customWidth="1"/>
    <col min="52" max="16384" width="9" style="3573"/>
  </cols>
  <sheetData>
    <row r="1" spans="1:50">
      <c r="A1" s="3573" t="s">
        <v>3188</v>
      </c>
      <c r="B1" s="3573" t="s">
        <v>3189</v>
      </c>
      <c r="C1" s="3573" t="s">
        <v>3190</v>
      </c>
      <c r="D1" s="3573" t="s">
        <v>3191</v>
      </c>
      <c r="E1" s="3573" t="s">
        <v>3192</v>
      </c>
      <c r="F1" s="3573" t="s">
        <v>3193</v>
      </c>
      <c r="G1" s="3573" t="s">
        <v>3194</v>
      </c>
      <c r="H1" s="3573" t="s">
        <v>3195</v>
      </c>
      <c r="I1" s="3573" t="s">
        <v>3196</v>
      </c>
      <c r="J1" s="3573" t="s">
        <v>3197</v>
      </c>
      <c r="K1" s="3573" t="s">
        <v>3198</v>
      </c>
      <c r="L1" s="3573" t="s">
        <v>3199</v>
      </c>
      <c r="M1" s="3573" t="s">
        <v>3200</v>
      </c>
      <c r="N1" s="3573" t="s">
        <v>3201</v>
      </c>
      <c r="O1" s="3573" t="s">
        <v>3202</v>
      </c>
      <c r="P1" s="3573" t="s">
        <v>3203</v>
      </c>
      <c r="Q1" s="3573" t="s">
        <v>3204</v>
      </c>
      <c r="R1" s="3573" t="s">
        <v>3205</v>
      </c>
      <c r="S1" s="3573" t="s">
        <v>3206</v>
      </c>
      <c r="T1" s="3573" t="s">
        <v>3207</v>
      </c>
      <c r="U1" s="3573" t="s">
        <v>3208</v>
      </c>
      <c r="V1" s="3573" t="s">
        <v>3209</v>
      </c>
      <c r="W1" s="3573" t="s">
        <v>3210</v>
      </c>
      <c r="X1" s="3573" t="s">
        <v>3211</v>
      </c>
      <c r="Y1" s="2423" t="s">
        <v>3212</v>
      </c>
      <c r="Z1" s="2423" t="s">
        <v>3213</v>
      </c>
      <c r="AA1" s="2423" t="s">
        <v>3214</v>
      </c>
      <c r="AB1" s="3573" t="s">
        <v>3215</v>
      </c>
      <c r="AC1" s="3573" t="s">
        <v>3216</v>
      </c>
      <c r="AD1" s="3573" t="s">
        <v>3217</v>
      </c>
      <c r="AE1" s="3573" t="s">
        <v>3218</v>
      </c>
      <c r="AF1" s="3573" t="s">
        <v>3219</v>
      </c>
      <c r="AG1" s="3573" t="s">
        <v>3220</v>
      </c>
      <c r="AH1" s="3573" t="s">
        <v>3221</v>
      </c>
      <c r="AI1" s="3573" t="s">
        <v>3222</v>
      </c>
      <c r="AJ1" s="3573" t="s">
        <v>3223</v>
      </c>
      <c r="AK1" s="3573" t="s">
        <v>3224</v>
      </c>
      <c r="AL1" s="3573" t="s">
        <v>3225</v>
      </c>
      <c r="AM1" s="3573" t="s">
        <v>3226</v>
      </c>
      <c r="AN1" s="3573" t="s">
        <v>3227</v>
      </c>
      <c r="AO1" s="3573" t="s">
        <v>3228</v>
      </c>
      <c r="AP1" s="3573" t="s">
        <v>3229</v>
      </c>
      <c r="AQ1" s="3573" t="s">
        <v>3230</v>
      </c>
      <c r="AR1" s="3573" t="s">
        <v>3231</v>
      </c>
      <c r="AS1" s="3573" t="s">
        <v>3232</v>
      </c>
      <c r="AT1" s="3573" t="s">
        <v>3233</v>
      </c>
      <c r="AU1" s="3573" t="s">
        <v>3234</v>
      </c>
      <c r="AV1" s="3573" t="s">
        <v>3235</v>
      </c>
      <c r="AW1" s="3577" t="s">
        <v>3236</v>
      </c>
      <c r="AX1" s="3573" t="s">
        <v>3237</v>
      </c>
    </row>
    <row r="2" spans="1:50">
      <c r="A2" s="3573" t="s">
        <v>3238</v>
      </c>
      <c r="B2" s="3573" t="s">
        <v>3172</v>
      </c>
      <c r="C2" s="3573" t="s">
        <v>3239</v>
      </c>
      <c r="D2" s="3573" t="s">
        <v>3240</v>
      </c>
      <c r="E2" s="3573" t="s">
        <v>3241</v>
      </c>
      <c r="F2" s="3573" t="s">
        <v>3242</v>
      </c>
      <c r="G2" s="3573" t="s">
        <v>3243</v>
      </c>
      <c r="H2" s="3573" t="s">
        <v>3244</v>
      </c>
      <c r="I2" s="3573">
        <v>27039.75</v>
      </c>
      <c r="J2" s="3573">
        <v>75711.3</v>
      </c>
      <c r="K2" s="3573" t="s">
        <v>3245</v>
      </c>
      <c r="L2" s="3573" t="s">
        <v>3246</v>
      </c>
      <c r="M2" s="3573" t="s">
        <v>3247</v>
      </c>
      <c r="N2" s="3573" t="s">
        <v>3248</v>
      </c>
      <c r="O2" s="3573" t="s">
        <v>3249</v>
      </c>
      <c r="P2" s="3573" t="s">
        <v>3250</v>
      </c>
      <c r="Q2" s="3573">
        <v>80</v>
      </c>
      <c r="R2" s="3573" t="s">
        <v>3251</v>
      </c>
      <c r="S2" s="3573" t="s">
        <v>3251</v>
      </c>
      <c r="T2" s="3573" t="s">
        <v>3250</v>
      </c>
      <c r="U2" s="3573" t="s">
        <v>3250</v>
      </c>
      <c r="V2" s="3573" t="s">
        <v>3250</v>
      </c>
      <c r="W2" s="3573">
        <v>0</v>
      </c>
      <c r="X2" s="3573">
        <v>0</v>
      </c>
      <c r="Y2" s="2423">
        <v>44670.000497685185</v>
      </c>
      <c r="Z2" s="2423">
        <v>44691.000497685185</v>
      </c>
      <c r="AA2" s="2423">
        <v>44712.000497685185</v>
      </c>
      <c r="AB2" s="3573">
        <v>44713.000497685185</v>
      </c>
      <c r="AC2" s="3573" t="s">
        <v>3252</v>
      </c>
      <c r="AD2" s="3573" t="s">
        <v>3253</v>
      </c>
      <c r="AE2" s="3573" t="s">
        <v>3254</v>
      </c>
      <c r="AF2" s="3573" t="s">
        <v>3255</v>
      </c>
      <c r="AG2" s="3573">
        <v>581000</v>
      </c>
      <c r="AH2" s="3573">
        <v>116200</v>
      </c>
      <c r="AI2" s="3573" t="s">
        <v>3256</v>
      </c>
      <c r="AJ2" s="3573">
        <v>668150</v>
      </c>
      <c r="AK2" s="3573">
        <v>14324.59</v>
      </c>
      <c r="AL2" s="3573">
        <v>16473.28</v>
      </c>
      <c r="AM2" s="3573">
        <v>76739</v>
      </c>
      <c r="AN2" s="3573">
        <v>88250</v>
      </c>
      <c r="AO2" s="3573" t="s">
        <v>3250</v>
      </c>
      <c r="AP2" s="3573" t="s">
        <v>3250</v>
      </c>
      <c r="AQ2" s="3573">
        <v>15</v>
      </c>
      <c r="AR2" s="3573" t="s">
        <v>3257</v>
      </c>
      <c r="AS2" s="3573">
        <v>668150</v>
      </c>
      <c r="AT2" s="3573" t="s">
        <v>3258</v>
      </c>
      <c r="AU2" s="3573" t="s">
        <v>3249</v>
      </c>
      <c r="AV2" s="3573">
        <v>88250</v>
      </c>
      <c r="AW2" s="3577">
        <v>15</v>
      </c>
      <c r="AX2" s="3573" t="s">
        <v>3250</v>
      </c>
    </row>
    <row r="3" spans="1:50">
      <c r="A3" s="3573" t="s">
        <v>3259</v>
      </c>
      <c r="B3" s="3573" t="s">
        <v>3172</v>
      </c>
      <c r="C3" s="3573" t="s">
        <v>3260</v>
      </c>
      <c r="D3" s="3573" t="s">
        <v>3240</v>
      </c>
      <c r="E3" s="3573" t="s">
        <v>3241</v>
      </c>
      <c r="F3" s="3573" t="s">
        <v>3261</v>
      </c>
      <c r="G3" s="3573" t="s">
        <v>3262</v>
      </c>
      <c r="H3" s="3573" t="s">
        <v>3263</v>
      </c>
      <c r="I3" s="3573">
        <v>44618.19</v>
      </c>
      <c r="J3" s="3573">
        <v>93514</v>
      </c>
      <c r="K3" s="3573" t="s">
        <v>3264</v>
      </c>
      <c r="L3" s="3573" t="s">
        <v>3246</v>
      </c>
      <c r="M3" s="3573" t="s">
        <v>3265</v>
      </c>
      <c r="N3" s="3573" t="s">
        <v>3248</v>
      </c>
      <c r="O3" s="3573" t="s">
        <v>3249</v>
      </c>
      <c r="P3" s="3573" t="s">
        <v>3266</v>
      </c>
      <c r="Q3" s="3573">
        <v>80</v>
      </c>
      <c r="R3" s="3573" t="s">
        <v>3267</v>
      </c>
      <c r="S3" s="3573" t="s">
        <v>3268</v>
      </c>
      <c r="T3" s="3573" t="s">
        <v>3250</v>
      </c>
      <c r="U3" s="3573" t="s">
        <v>3250</v>
      </c>
      <c r="V3" s="3573" t="s">
        <v>3250</v>
      </c>
      <c r="W3" s="3573">
        <v>0</v>
      </c>
      <c r="X3" s="3573">
        <v>0</v>
      </c>
      <c r="Y3" s="2423">
        <v>44670.000497685185</v>
      </c>
      <c r="Z3" s="2423">
        <v>44691.000497685185</v>
      </c>
      <c r="AA3" s="2423">
        <v>44712.000497685185</v>
      </c>
      <c r="AB3" s="3573">
        <v>44713.000497685185</v>
      </c>
      <c r="AC3" s="3573" t="s">
        <v>3269</v>
      </c>
      <c r="AD3" s="3573" t="s">
        <v>3253</v>
      </c>
      <c r="AE3" s="3573" t="s">
        <v>3270</v>
      </c>
      <c r="AF3" s="3573" t="s">
        <v>3271</v>
      </c>
      <c r="AG3" s="3573">
        <v>394000</v>
      </c>
      <c r="AH3" s="3573">
        <v>79000</v>
      </c>
      <c r="AI3" s="3573" t="s">
        <v>3256</v>
      </c>
      <c r="AJ3" s="3573">
        <v>400000</v>
      </c>
      <c r="AK3" s="3573">
        <v>5886.99</v>
      </c>
      <c r="AL3" s="3573">
        <v>5976.64</v>
      </c>
      <c r="AM3" s="3573">
        <v>42133</v>
      </c>
      <c r="AN3" s="3573">
        <v>42774</v>
      </c>
      <c r="AO3" s="3573" t="s">
        <v>3250</v>
      </c>
      <c r="AP3" s="3573" t="s">
        <v>3250</v>
      </c>
      <c r="AQ3" s="3573">
        <v>1.52</v>
      </c>
      <c r="AR3" s="3573" t="s">
        <v>3272</v>
      </c>
      <c r="AS3" s="3573">
        <v>453100</v>
      </c>
      <c r="AT3" s="3573" t="s">
        <v>3273</v>
      </c>
      <c r="AU3" s="3573" t="s">
        <v>3249</v>
      </c>
      <c r="AV3" s="3573">
        <v>48453</v>
      </c>
      <c r="AW3" s="3577">
        <v>15</v>
      </c>
      <c r="AX3" s="3573" t="s">
        <v>3250</v>
      </c>
    </row>
    <row r="4" spans="1:50" s="3574" customFormat="1">
      <c r="A4" s="3574" t="s">
        <v>3274</v>
      </c>
      <c r="B4" s="3574" t="s">
        <v>3172</v>
      </c>
      <c r="C4" s="3574" t="s">
        <v>3275</v>
      </c>
      <c r="D4" s="3574" t="s">
        <v>3240</v>
      </c>
      <c r="E4" s="3574" t="s">
        <v>3241</v>
      </c>
      <c r="F4" s="3574" t="s">
        <v>3261</v>
      </c>
      <c r="G4" s="3574" t="s">
        <v>3262</v>
      </c>
      <c r="H4" s="3574" t="s">
        <v>3244</v>
      </c>
      <c r="I4" s="3574">
        <v>40508.61</v>
      </c>
      <c r="J4" s="3574">
        <v>56712</v>
      </c>
      <c r="K4" s="3574" t="s">
        <v>3276</v>
      </c>
      <c r="L4" s="3574" t="s">
        <v>3246</v>
      </c>
      <c r="M4" s="3574" t="s">
        <v>3247</v>
      </c>
      <c r="N4" s="3574" t="s">
        <v>3248</v>
      </c>
      <c r="O4" s="3574" t="s">
        <v>3249</v>
      </c>
      <c r="P4" s="3574" t="s">
        <v>3250</v>
      </c>
      <c r="Q4" s="3574">
        <v>30</v>
      </c>
      <c r="R4" s="3574" t="s">
        <v>3277</v>
      </c>
      <c r="S4" s="3574" t="s">
        <v>3268</v>
      </c>
      <c r="T4" s="3574" t="s">
        <v>3250</v>
      </c>
      <c r="U4" s="3574" t="s">
        <v>3250</v>
      </c>
      <c r="V4" s="3574" t="s">
        <v>3250</v>
      </c>
      <c r="W4" s="3574">
        <v>0</v>
      </c>
      <c r="X4" s="3574">
        <v>0</v>
      </c>
      <c r="Y4" s="2424">
        <v>44670.000497685185</v>
      </c>
      <c r="Z4" s="2424">
        <v>44691.000497685185</v>
      </c>
      <c r="AA4" s="2424">
        <v>44712.000497685185</v>
      </c>
      <c r="AB4" s="3574">
        <v>44713.000497685185</v>
      </c>
      <c r="AC4" s="3574" t="s">
        <v>3278</v>
      </c>
      <c r="AD4" s="3574" t="s">
        <v>3253</v>
      </c>
      <c r="AE4" s="3574" t="s">
        <v>3279</v>
      </c>
      <c r="AF4" s="3574" t="s">
        <v>3280</v>
      </c>
      <c r="AG4" s="3574">
        <v>263000</v>
      </c>
      <c r="AH4" s="3574">
        <v>53000</v>
      </c>
      <c r="AI4" s="3574" t="s">
        <v>3256</v>
      </c>
      <c r="AJ4" s="3574">
        <v>298000</v>
      </c>
      <c r="AK4" s="3574">
        <v>4328.3</v>
      </c>
      <c r="AL4" s="3574">
        <v>4904.3100000000004</v>
      </c>
      <c r="AM4" s="3574">
        <v>46375</v>
      </c>
      <c r="AN4" s="3574">
        <v>52546</v>
      </c>
      <c r="AO4" s="3574" t="s">
        <v>3250</v>
      </c>
      <c r="AP4" s="3574" t="s">
        <v>3250</v>
      </c>
      <c r="AQ4" s="3574">
        <v>13.31</v>
      </c>
      <c r="AR4" s="3574" t="s">
        <v>3257</v>
      </c>
      <c r="AS4" s="3574">
        <v>302450</v>
      </c>
      <c r="AT4" s="3574" t="s">
        <v>3273</v>
      </c>
      <c r="AU4" s="3574">
        <v>89000</v>
      </c>
      <c r="AV4" s="3574">
        <v>53331</v>
      </c>
      <c r="AW4" s="3578">
        <v>15</v>
      </c>
      <c r="AX4" s="3574" t="s">
        <v>3250</v>
      </c>
    </row>
    <row r="5" spans="1:50" s="3575" customFormat="1">
      <c r="A5" s="3575" t="s">
        <v>3281</v>
      </c>
      <c r="B5" s="3575" t="s">
        <v>3172</v>
      </c>
      <c r="C5" s="3575" t="s">
        <v>3282</v>
      </c>
      <c r="D5" s="3575" t="s">
        <v>3240</v>
      </c>
      <c r="E5" s="3575" t="s">
        <v>3241</v>
      </c>
      <c r="F5" s="3575" t="s">
        <v>3283</v>
      </c>
      <c r="G5" s="3575" t="s">
        <v>3284</v>
      </c>
      <c r="H5" s="3575" t="s">
        <v>3244</v>
      </c>
      <c r="I5" s="3575">
        <v>34502.36</v>
      </c>
      <c r="J5" s="3575">
        <v>86256</v>
      </c>
      <c r="K5" s="3575" t="s">
        <v>3285</v>
      </c>
      <c r="L5" s="3575" t="s">
        <v>3246</v>
      </c>
      <c r="M5" s="3575" t="s">
        <v>3247</v>
      </c>
      <c r="N5" s="3575" t="s">
        <v>3248</v>
      </c>
      <c r="O5" s="3575" t="s">
        <v>3249</v>
      </c>
      <c r="P5" s="3575" t="s">
        <v>3250</v>
      </c>
      <c r="Q5" s="3575">
        <v>60</v>
      </c>
      <c r="R5" s="3575" t="s">
        <v>3286</v>
      </c>
      <c r="S5" s="3575" t="s">
        <v>3268</v>
      </c>
      <c r="T5" s="3575" t="s">
        <v>3250</v>
      </c>
      <c r="U5" s="3575" t="s">
        <v>3250</v>
      </c>
      <c r="V5" s="3575" t="s">
        <v>3250</v>
      </c>
      <c r="W5" s="3575">
        <v>0</v>
      </c>
      <c r="X5" s="3575">
        <v>0</v>
      </c>
      <c r="Y5" s="2425">
        <v>44670.000497685185</v>
      </c>
      <c r="Z5" s="2425">
        <v>44691.000497685185</v>
      </c>
      <c r="AA5" s="2425">
        <v>44712.000497685185</v>
      </c>
      <c r="AB5" s="3575">
        <v>44712.000497685185</v>
      </c>
      <c r="AC5" s="3575" t="s">
        <v>3287</v>
      </c>
      <c r="AD5" s="3575" t="s">
        <v>3253</v>
      </c>
      <c r="AE5" s="3575" t="s">
        <v>3288</v>
      </c>
      <c r="AF5" s="3575" t="s">
        <v>3289</v>
      </c>
      <c r="AG5" s="3575">
        <v>388000</v>
      </c>
      <c r="AH5" s="3575">
        <v>78000</v>
      </c>
      <c r="AI5" s="3575" t="s">
        <v>3256</v>
      </c>
      <c r="AJ5" s="3575">
        <v>388000</v>
      </c>
      <c r="AK5" s="3575">
        <v>7497.07</v>
      </c>
      <c r="AL5" s="3575">
        <v>7497.07</v>
      </c>
      <c r="AM5" s="3575">
        <v>44982</v>
      </c>
      <c r="AN5" s="3575">
        <v>44982</v>
      </c>
      <c r="AO5" s="3575" t="s">
        <v>3250</v>
      </c>
      <c r="AP5" s="3575" t="s">
        <v>3250</v>
      </c>
      <c r="AQ5" s="3575">
        <v>0</v>
      </c>
      <c r="AR5" s="3575" t="s">
        <v>3257</v>
      </c>
      <c r="AS5" s="3575">
        <v>446200</v>
      </c>
      <c r="AT5" s="3575" t="s">
        <v>3273</v>
      </c>
      <c r="AU5" s="3575" t="s">
        <v>3249</v>
      </c>
      <c r="AV5" s="3575">
        <v>51730</v>
      </c>
      <c r="AW5" s="3579">
        <v>15</v>
      </c>
      <c r="AX5" s="3575" t="s">
        <v>3250</v>
      </c>
    </row>
    <row r="6" spans="1:50" s="3575" customFormat="1">
      <c r="A6" s="3575" t="s">
        <v>3290</v>
      </c>
      <c r="B6" s="3575" t="s">
        <v>3172</v>
      </c>
      <c r="C6" s="3575" t="s">
        <v>3291</v>
      </c>
      <c r="D6" s="3575" t="s">
        <v>3240</v>
      </c>
      <c r="E6" s="3575" t="s">
        <v>3241</v>
      </c>
      <c r="F6" s="3575" t="s">
        <v>3283</v>
      </c>
      <c r="G6" s="3575" t="s">
        <v>3292</v>
      </c>
      <c r="H6" s="3575" t="s">
        <v>3244</v>
      </c>
      <c r="I6" s="3575">
        <v>36848.99</v>
      </c>
      <c r="J6" s="3575">
        <v>92122</v>
      </c>
      <c r="K6" s="3575">
        <v>2.5</v>
      </c>
      <c r="L6" s="3575" t="s">
        <v>3246</v>
      </c>
      <c r="M6" s="3575" t="s">
        <v>3247</v>
      </c>
      <c r="N6" s="3575" t="s">
        <v>3293</v>
      </c>
      <c r="O6" s="3575" t="s">
        <v>3249</v>
      </c>
      <c r="P6" s="3575" t="s">
        <v>3250</v>
      </c>
      <c r="Q6" s="3575">
        <v>45</v>
      </c>
      <c r="R6" s="3575" t="s">
        <v>3294</v>
      </c>
      <c r="S6" s="3575" t="s">
        <v>3268</v>
      </c>
      <c r="T6" s="3575" t="s">
        <v>3250</v>
      </c>
      <c r="U6" s="3575">
        <v>0</v>
      </c>
      <c r="V6" s="3575">
        <v>0</v>
      </c>
      <c r="W6" s="3575">
        <v>0</v>
      </c>
      <c r="X6" s="3575">
        <v>0</v>
      </c>
      <c r="Y6" s="2425">
        <v>44568.000497685185</v>
      </c>
      <c r="Z6" s="2425">
        <v>44589.000497685185</v>
      </c>
      <c r="AA6" s="2425">
        <v>44608.000497685185</v>
      </c>
      <c r="AB6" s="3575">
        <v>44609.000497685185</v>
      </c>
      <c r="AC6" s="3575" t="s">
        <v>3295</v>
      </c>
      <c r="AD6" s="3575" t="s">
        <v>3253</v>
      </c>
      <c r="AE6" s="3575" t="s">
        <v>3296</v>
      </c>
      <c r="AF6" s="3575" t="s">
        <v>3297</v>
      </c>
      <c r="AG6" s="3575">
        <v>392000</v>
      </c>
      <c r="AH6" s="3575">
        <v>78500</v>
      </c>
      <c r="AI6" s="3575" t="s">
        <v>3298</v>
      </c>
      <c r="AJ6" s="3575">
        <v>424000</v>
      </c>
      <c r="AK6" s="3575">
        <v>7092.01</v>
      </c>
      <c r="AL6" s="3575">
        <v>7670.95</v>
      </c>
      <c r="AM6" s="3575">
        <v>42552</v>
      </c>
      <c r="AN6" s="3575">
        <v>46026</v>
      </c>
      <c r="AO6" s="3575" t="s">
        <v>3250</v>
      </c>
      <c r="AP6" s="3575" t="s">
        <v>3250</v>
      </c>
      <c r="AQ6" s="3575">
        <v>8.16</v>
      </c>
      <c r="AR6" s="3575" t="s">
        <v>3299</v>
      </c>
      <c r="AS6" s="3575">
        <v>431200</v>
      </c>
      <c r="AT6" s="3575" t="s">
        <v>3273</v>
      </c>
      <c r="AU6" s="3575">
        <v>71000</v>
      </c>
      <c r="AV6" s="3575">
        <v>46807</v>
      </c>
      <c r="AW6" s="3579">
        <v>10</v>
      </c>
      <c r="AX6" s="3575">
        <v>28448</v>
      </c>
    </row>
    <row r="7" spans="1:50" s="3574" customFormat="1">
      <c r="A7" s="3574" t="s">
        <v>3300</v>
      </c>
      <c r="B7" s="3574" t="s">
        <v>3172</v>
      </c>
      <c r="C7" s="3574" t="s">
        <v>3301</v>
      </c>
      <c r="D7" s="3574" t="s">
        <v>3240</v>
      </c>
      <c r="E7" s="3574" t="s">
        <v>3241</v>
      </c>
      <c r="F7" s="3574" t="s">
        <v>3302</v>
      </c>
      <c r="G7" s="3574" t="s">
        <v>3262</v>
      </c>
      <c r="H7" s="3574" t="s">
        <v>3263</v>
      </c>
      <c r="I7" s="3574">
        <v>41146.67</v>
      </c>
      <c r="J7" s="3574">
        <v>92406</v>
      </c>
      <c r="K7" s="3574" t="s">
        <v>3303</v>
      </c>
      <c r="L7" s="3574" t="s">
        <v>3246</v>
      </c>
      <c r="M7" s="3574" t="s">
        <v>3304</v>
      </c>
      <c r="N7" s="3574" t="s">
        <v>3293</v>
      </c>
      <c r="O7" s="3574">
        <v>0</v>
      </c>
      <c r="P7" s="3574" t="s">
        <v>3305</v>
      </c>
      <c r="Q7" s="3574" t="s">
        <v>3306</v>
      </c>
      <c r="R7" s="3574" t="s">
        <v>3307</v>
      </c>
      <c r="S7" s="3574" t="s">
        <v>3308</v>
      </c>
      <c r="T7" s="3574" t="s">
        <v>3309</v>
      </c>
      <c r="U7" s="3574">
        <v>4400</v>
      </c>
      <c r="V7" s="3574">
        <v>0</v>
      </c>
      <c r="W7" s="3574">
        <v>0</v>
      </c>
      <c r="X7" s="3574">
        <v>0</v>
      </c>
      <c r="Y7" s="2424">
        <v>44568.000497685185</v>
      </c>
      <c r="Z7" s="2424">
        <v>44589.000497685185</v>
      </c>
      <c r="AA7" s="2424">
        <v>44608.000497685185</v>
      </c>
      <c r="AB7" s="3574">
        <v>44609.000497685185</v>
      </c>
      <c r="AC7" s="3574" t="s">
        <v>3310</v>
      </c>
      <c r="AD7" s="3574" t="s">
        <v>3253</v>
      </c>
      <c r="AE7" s="3574" t="s">
        <v>3311</v>
      </c>
      <c r="AF7" s="3574" t="s">
        <v>3312</v>
      </c>
      <c r="AG7" s="3574">
        <v>378000</v>
      </c>
      <c r="AH7" s="3574">
        <v>76000</v>
      </c>
      <c r="AI7" s="3574" t="s">
        <v>3298</v>
      </c>
      <c r="AJ7" s="3574">
        <v>434700</v>
      </c>
      <c r="AK7" s="3574">
        <v>6124.43</v>
      </c>
      <c r="AL7" s="3574">
        <v>7043.1</v>
      </c>
      <c r="AM7" s="3574">
        <v>40906</v>
      </c>
      <c r="AN7" s="3574">
        <v>47042</v>
      </c>
      <c r="AO7" s="3574">
        <v>42952</v>
      </c>
      <c r="AP7" s="3574" t="s">
        <v>3250</v>
      </c>
      <c r="AQ7" s="3574">
        <v>15</v>
      </c>
      <c r="AR7" s="3574" t="s">
        <v>3313</v>
      </c>
      <c r="AS7" s="3574">
        <v>434700</v>
      </c>
      <c r="AT7" s="3574" t="s">
        <v>3258</v>
      </c>
      <c r="AU7" s="3574">
        <v>88000</v>
      </c>
      <c r="AV7" s="3574">
        <v>47042</v>
      </c>
      <c r="AW7" s="3578">
        <v>15</v>
      </c>
      <c r="AX7" s="3574">
        <v>47094</v>
      </c>
    </row>
    <row r="8" spans="1:50">
      <c r="A8" s="3573" t="s">
        <v>3314</v>
      </c>
      <c r="B8" s="3573" t="s">
        <v>3172</v>
      </c>
      <c r="C8" s="3573" t="s">
        <v>3315</v>
      </c>
      <c r="D8" s="3573" t="s">
        <v>3240</v>
      </c>
      <c r="E8" s="3573" t="s">
        <v>3241</v>
      </c>
      <c r="F8" s="3573" t="s">
        <v>3316</v>
      </c>
      <c r="G8" s="3573" t="s">
        <v>3317</v>
      </c>
      <c r="H8" s="3573" t="s">
        <v>3263</v>
      </c>
      <c r="I8" s="3573">
        <v>12533.84</v>
      </c>
      <c r="J8" s="3573">
        <v>40108</v>
      </c>
      <c r="K8" s="3573">
        <v>3.2</v>
      </c>
      <c r="L8" s="3573" t="s">
        <v>3246</v>
      </c>
      <c r="M8" s="3573" t="s">
        <v>3318</v>
      </c>
      <c r="N8" s="3573" t="s">
        <v>3319</v>
      </c>
      <c r="O8" s="3573">
        <v>22.44</v>
      </c>
      <c r="P8" s="3573" t="s">
        <v>3250</v>
      </c>
      <c r="Q8" s="3573">
        <v>80</v>
      </c>
      <c r="R8" s="3573" t="s">
        <v>3320</v>
      </c>
      <c r="S8" s="3573" t="s">
        <v>3268</v>
      </c>
      <c r="T8" s="3573" t="s">
        <v>3250</v>
      </c>
      <c r="U8" s="3573" t="s">
        <v>3250</v>
      </c>
      <c r="V8" s="3573" t="s">
        <v>3250</v>
      </c>
      <c r="W8" s="3573">
        <v>0</v>
      </c>
      <c r="X8" s="3573">
        <v>0</v>
      </c>
      <c r="Y8" s="2423">
        <v>44519.000497685185</v>
      </c>
      <c r="Z8" s="2423">
        <v>44540.000497685185</v>
      </c>
      <c r="AA8" s="2423">
        <v>44554.000497685185</v>
      </c>
      <c r="AB8" s="3573">
        <v>44554.000497685185</v>
      </c>
      <c r="AC8" s="3573" t="s">
        <v>3321</v>
      </c>
      <c r="AD8" s="3573" t="s">
        <v>3253</v>
      </c>
      <c r="AE8" s="3573" t="s">
        <v>3322</v>
      </c>
      <c r="AF8" s="3573" t="s">
        <v>3323</v>
      </c>
      <c r="AG8" s="3573">
        <v>114000</v>
      </c>
      <c r="AH8" s="3573">
        <v>23000</v>
      </c>
      <c r="AI8" s="3573" t="s">
        <v>3324</v>
      </c>
      <c r="AJ8" s="3573">
        <v>114000</v>
      </c>
      <c r="AK8" s="3573">
        <v>6063.58</v>
      </c>
      <c r="AL8" s="3573">
        <v>6063.58</v>
      </c>
      <c r="AM8" s="3573">
        <v>28423</v>
      </c>
      <c r="AN8" s="3573">
        <v>28423</v>
      </c>
      <c r="AO8" s="3573" t="s">
        <v>3250</v>
      </c>
      <c r="AP8" s="3573" t="s">
        <v>3250</v>
      </c>
      <c r="AQ8" s="3573">
        <v>0</v>
      </c>
      <c r="AR8" s="3573" t="s">
        <v>3325</v>
      </c>
      <c r="AS8" s="3573">
        <v>131100</v>
      </c>
      <c r="AT8" s="3573" t="s">
        <v>3273</v>
      </c>
      <c r="AU8" s="3573">
        <v>106600</v>
      </c>
      <c r="AV8" s="3573">
        <v>32687</v>
      </c>
      <c r="AW8" s="3577">
        <v>15</v>
      </c>
      <c r="AX8" s="3573">
        <v>78177</v>
      </c>
    </row>
    <row r="9" spans="1:50">
      <c r="A9" s="3573" t="s">
        <v>3326</v>
      </c>
      <c r="B9" s="3573" t="s">
        <v>3172</v>
      </c>
      <c r="C9" s="3573" t="s">
        <v>3327</v>
      </c>
      <c r="D9" s="3573" t="s">
        <v>3240</v>
      </c>
      <c r="E9" s="3573" t="s">
        <v>3241</v>
      </c>
      <c r="F9" s="3573" t="s">
        <v>3328</v>
      </c>
      <c r="G9" s="3573" t="s">
        <v>3329</v>
      </c>
      <c r="H9" s="3573" t="s">
        <v>3244</v>
      </c>
      <c r="I9" s="3573">
        <v>21711.13</v>
      </c>
      <c r="J9" s="3573">
        <v>47764</v>
      </c>
      <c r="K9" s="3573">
        <v>2.2000000000000002</v>
      </c>
      <c r="L9" s="3573" t="s">
        <v>3246</v>
      </c>
      <c r="M9" s="3573" t="s">
        <v>3247</v>
      </c>
      <c r="N9" s="3573" t="s">
        <v>3319</v>
      </c>
      <c r="O9" s="3573" t="s">
        <v>3249</v>
      </c>
      <c r="P9" s="3573" t="s">
        <v>3250</v>
      </c>
      <c r="Q9" s="3573">
        <v>45</v>
      </c>
      <c r="R9" s="3573" t="s">
        <v>3330</v>
      </c>
      <c r="S9" s="3573" t="s">
        <v>3268</v>
      </c>
      <c r="T9" s="3573" t="s">
        <v>3250</v>
      </c>
      <c r="U9" s="3573" t="s">
        <v>3250</v>
      </c>
      <c r="V9" s="3573" t="s">
        <v>3250</v>
      </c>
      <c r="W9" s="3573">
        <v>0</v>
      </c>
      <c r="X9" s="3573">
        <v>0</v>
      </c>
      <c r="Y9" s="2423">
        <v>44519.000497685185</v>
      </c>
      <c r="Z9" s="2423">
        <v>44540.000497685185</v>
      </c>
      <c r="AA9" s="2423">
        <v>44554.000497685185</v>
      </c>
      <c r="AB9" s="3573">
        <v>44554.000497685185</v>
      </c>
      <c r="AC9" s="3573" t="s">
        <v>3331</v>
      </c>
      <c r="AD9" s="3573" t="s">
        <v>3253</v>
      </c>
      <c r="AE9" s="3573" t="s">
        <v>3332</v>
      </c>
      <c r="AF9" s="3573" t="s">
        <v>3333</v>
      </c>
      <c r="AG9" s="3573">
        <v>208000</v>
      </c>
      <c r="AH9" s="3573">
        <v>42000</v>
      </c>
      <c r="AI9" s="3573" t="s">
        <v>3324</v>
      </c>
      <c r="AJ9" s="3573">
        <v>208000</v>
      </c>
      <c r="AK9" s="3573">
        <v>6386.89</v>
      </c>
      <c r="AL9" s="3573">
        <v>6386.89</v>
      </c>
      <c r="AM9" s="3573">
        <v>43547</v>
      </c>
      <c r="AN9" s="3573">
        <v>43547</v>
      </c>
      <c r="AO9" s="3573" t="s">
        <v>3250</v>
      </c>
      <c r="AP9" s="3573" t="s">
        <v>3250</v>
      </c>
      <c r="AQ9" s="3573">
        <v>0</v>
      </c>
      <c r="AR9" s="3573" t="s">
        <v>3334</v>
      </c>
      <c r="AS9" s="3573">
        <v>218400</v>
      </c>
      <c r="AT9" s="3573" t="s">
        <v>3273</v>
      </c>
      <c r="AU9" s="3573">
        <v>69800</v>
      </c>
      <c r="AV9" s="3573">
        <v>45725</v>
      </c>
      <c r="AW9" s="3577">
        <v>5</v>
      </c>
      <c r="AX9" s="3573">
        <v>26253</v>
      </c>
    </row>
    <row r="10" spans="1:50">
      <c r="A10" s="3573" t="s">
        <v>3335</v>
      </c>
      <c r="B10" s="3573" t="s">
        <v>3172</v>
      </c>
      <c r="C10" s="3573" t="s">
        <v>3336</v>
      </c>
      <c r="D10" s="3573" t="s">
        <v>3240</v>
      </c>
      <c r="E10" s="3573" t="s">
        <v>3241</v>
      </c>
      <c r="F10" s="3573" t="s">
        <v>3302</v>
      </c>
      <c r="G10" s="3573" t="s">
        <v>3337</v>
      </c>
      <c r="H10" s="3573" t="s">
        <v>3244</v>
      </c>
      <c r="I10" s="3573">
        <v>76681.88</v>
      </c>
      <c r="J10" s="3573">
        <v>137000</v>
      </c>
      <c r="K10" s="3573">
        <v>1.8</v>
      </c>
      <c r="L10" s="3573" t="s">
        <v>3246</v>
      </c>
      <c r="M10" s="3573" t="s">
        <v>3247</v>
      </c>
      <c r="N10" s="3573" t="s">
        <v>3319</v>
      </c>
      <c r="O10" s="3573" t="s">
        <v>3249</v>
      </c>
      <c r="P10" s="3573" t="s">
        <v>3250</v>
      </c>
      <c r="Q10" s="3573">
        <v>80</v>
      </c>
      <c r="R10" s="3573" t="s">
        <v>3330</v>
      </c>
      <c r="S10" s="3573" t="s">
        <v>3268</v>
      </c>
      <c r="T10" s="3573" t="s">
        <v>3250</v>
      </c>
      <c r="U10" s="3573" t="s">
        <v>3250</v>
      </c>
      <c r="V10" s="3573" t="s">
        <v>3250</v>
      </c>
      <c r="W10" s="3573">
        <v>0</v>
      </c>
      <c r="X10" s="3573">
        <v>0</v>
      </c>
      <c r="Y10" s="2423">
        <v>44519.000497685185</v>
      </c>
      <c r="Z10" s="2423">
        <v>44540.000497685185</v>
      </c>
      <c r="AA10" s="2423">
        <v>44554.000497685185</v>
      </c>
      <c r="AB10" s="3573">
        <v>44554.000497685185</v>
      </c>
      <c r="AC10" s="3573" t="s">
        <v>3338</v>
      </c>
      <c r="AD10" s="3573" t="s">
        <v>3253</v>
      </c>
      <c r="AE10" s="3573" t="s">
        <v>3339</v>
      </c>
      <c r="AF10" s="3573" t="s">
        <v>3340</v>
      </c>
      <c r="AG10" s="3573">
        <v>707000</v>
      </c>
      <c r="AH10" s="3573">
        <v>142000</v>
      </c>
      <c r="AI10" s="3573" t="s">
        <v>3324</v>
      </c>
      <c r="AJ10" s="3573">
        <v>707000</v>
      </c>
      <c r="AK10" s="3573">
        <v>6146.61</v>
      </c>
      <c r="AL10" s="3573">
        <v>6146.61</v>
      </c>
      <c r="AM10" s="3573">
        <v>51606</v>
      </c>
      <c r="AN10" s="3573">
        <v>51606</v>
      </c>
      <c r="AO10" s="3573" t="s">
        <v>3250</v>
      </c>
      <c r="AP10" s="3573" t="s">
        <v>3250</v>
      </c>
      <c r="AQ10" s="3573">
        <v>0</v>
      </c>
      <c r="AR10" s="3573" t="s">
        <v>3341</v>
      </c>
      <c r="AS10" s="3573">
        <v>742350</v>
      </c>
      <c r="AT10" s="3573" t="s">
        <v>3273</v>
      </c>
      <c r="AU10" s="3573">
        <v>86000</v>
      </c>
      <c r="AV10" s="3573">
        <v>54186</v>
      </c>
      <c r="AW10" s="3577">
        <v>5</v>
      </c>
      <c r="AX10" s="3573">
        <v>34394</v>
      </c>
    </row>
    <row r="11" spans="1:50">
      <c r="A11" s="3573" t="s">
        <v>3342</v>
      </c>
      <c r="B11" s="3573" t="s">
        <v>3172</v>
      </c>
      <c r="C11" s="3573" t="s">
        <v>3343</v>
      </c>
      <c r="D11" s="3573" t="s">
        <v>3240</v>
      </c>
      <c r="E11" s="3573" t="s">
        <v>3241</v>
      </c>
      <c r="F11" s="3573" t="s">
        <v>3302</v>
      </c>
      <c r="G11" s="3573" t="s">
        <v>3337</v>
      </c>
      <c r="H11" s="3573" t="s">
        <v>3244</v>
      </c>
      <c r="I11" s="3573">
        <v>63959.72</v>
      </c>
      <c r="J11" s="3573">
        <v>94000</v>
      </c>
      <c r="K11" s="3573">
        <v>1.47</v>
      </c>
      <c r="L11" s="3573" t="s">
        <v>3246</v>
      </c>
      <c r="M11" s="3573" t="s">
        <v>3247</v>
      </c>
      <c r="N11" s="3573" t="s">
        <v>3319</v>
      </c>
      <c r="O11" s="3573" t="s">
        <v>3249</v>
      </c>
      <c r="P11" s="3573" t="s">
        <v>3250</v>
      </c>
      <c r="Q11" s="3573">
        <v>80</v>
      </c>
      <c r="R11" s="3573" t="s">
        <v>3330</v>
      </c>
      <c r="S11" s="3573" t="s">
        <v>3268</v>
      </c>
      <c r="T11" s="3573" t="s">
        <v>3250</v>
      </c>
      <c r="U11" s="3573" t="s">
        <v>3250</v>
      </c>
      <c r="V11" s="3573" t="s">
        <v>3250</v>
      </c>
      <c r="W11" s="3573">
        <v>0</v>
      </c>
      <c r="X11" s="3573">
        <v>0</v>
      </c>
      <c r="Y11" s="2423">
        <v>44519.000497685185</v>
      </c>
      <c r="Z11" s="2423">
        <v>44540.000497685185</v>
      </c>
      <c r="AA11" s="2423">
        <v>44554.000497685185</v>
      </c>
      <c r="AB11" s="3573">
        <v>44554.000497685185</v>
      </c>
      <c r="AC11" s="3573" t="s">
        <v>3344</v>
      </c>
      <c r="AD11" s="3573" t="s">
        <v>3253</v>
      </c>
      <c r="AE11" s="3573" t="s">
        <v>3339</v>
      </c>
      <c r="AF11" s="3573" t="s">
        <v>3340</v>
      </c>
      <c r="AG11" s="3573">
        <v>485000</v>
      </c>
      <c r="AH11" s="3573">
        <v>97000</v>
      </c>
      <c r="AI11" s="3573" t="s">
        <v>3324</v>
      </c>
      <c r="AJ11" s="3573">
        <v>485000</v>
      </c>
      <c r="AK11" s="3573">
        <v>5055.26</v>
      </c>
      <c r="AL11" s="3573">
        <v>5055.26</v>
      </c>
      <c r="AM11" s="3573">
        <v>51596</v>
      </c>
      <c r="AN11" s="3573">
        <v>51596</v>
      </c>
      <c r="AO11" s="3573" t="s">
        <v>3250</v>
      </c>
      <c r="AP11" s="3573" t="s">
        <v>3250</v>
      </c>
      <c r="AQ11" s="3573">
        <v>0</v>
      </c>
      <c r="AR11" s="3573" t="s">
        <v>3345</v>
      </c>
      <c r="AS11" s="3573">
        <v>509250</v>
      </c>
      <c r="AT11" s="3573" t="s">
        <v>3273</v>
      </c>
      <c r="AU11" s="3573">
        <v>86000</v>
      </c>
      <c r="AV11" s="3573">
        <v>54176</v>
      </c>
      <c r="AW11" s="3577">
        <v>5</v>
      </c>
      <c r="AX11" s="3573">
        <v>34404</v>
      </c>
    </row>
    <row r="12" spans="1:50" s="3574" customFormat="1">
      <c r="A12" s="3573" t="s">
        <v>3346</v>
      </c>
      <c r="B12" s="3573" t="s">
        <v>3172</v>
      </c>
      <c r="C12" s="3573" t="s">
        <v>3347</v>
      </c>
      <c r="D12" s="3573" t="s">
        <v>3240</v>
      </c>
      <c r="E12" s="3573" t="s">
        <v>3241</v>
      </c>
      <c r="F12" s="3573" t="s">
        <v>3302</v>
      </c>
      <c r="G12" s="3573" t="s">
        <v>3337</v>
      </c>
      <c r="H12" s="3573" t="s">
        <v>3244</v>
      </c>
      <c r="I12" s="3573">
        <v>57220.14</v>
      </c>
      <c r="J12" s="3573">
        <v>132000</v>
      </c>
      <c r="K12" s="3573">
        <v>2.2999999999999998</v>
      </c>
      <c r="L12" s="3573" t="s">
        <v>3246</v>
      </c>
      <c r="M12" s="3573" t="s">
        <v>3247</v>
      </c>
      <c r="N12" s="3573" t="s">
        <v>3319</v>
      </c>
      <c r="O12" s="3573" t="s">
        <v>3249</v>
      </c>
      <c r="P12" s="3573" t="s">
        <v>3250</v>
      </c>
      <c r="Q12" s="3573">
        <v>80</v>
      </c>
      <c r="R12" s="3573" t="s">
        <v>3348</v>
      </c>
      <c r="S12" s="3573" t="s">
        <v>3268</v>
      </c>
      <c r="T12" s="3573" t="s">
        <v>3309</v>
      </c>
      <c r="U12" s="3573">
        <v>20000</v>
      </c>
      <c r="V12" s="3573" t="s">
        <v>3250</v>
      </c>
      <c r="W12" s="3573">
        <v>0</v>
      </c>
      <c r="X12" s="3573">
        <v>0</v>
      </c>
      <c r="Y12" s="2423">
        <v>44519.000497685185</v>
      </c>
      <c r="Z12" s="2423">
        <v>44540.000497685185</v>
      </c>
      <c r="AA12" s="2423">
        <v>44554.000497685185</v>
      </c>
      <c r="AB12" s="3573">
        <v>44554.000497685185</v>
      </c>
      <c r="AC12" s="3573" t="s">
        <v>3349</v>
      </c>
      <c r="AD12" s="3573" t="s">
        <v>3253</v>
      </c>
      <c r="AE12" s="3573" t="s">
        <v>3339</v>
      </c>
      <c r="AF12" s="3573" t="s">
        <v>3340</v>
      </c>
      <c r="AG12" s="3573">
        <v>561000</v>
      </c>
      <c r="AH12" s="3573">
        <v>112200</v>
      </c>
      <c r="AI12" s="3573" t="s">
        <v>3324</v>
      </c>
      <c r="AJ12" s="3573">
        <v>561000</v>
      </c>
      <c r="AK12" s="3573">
        <v>6536.16</v>
      </c>
      <c r="AL12" s="3573">
        <v>6536.16</v>
      </c>
      <c r="AM12" s="3573">
        <v>42500</v>
      </c>
      <c r="AN12" s="3573">
        <v>42500</v>
      </c>
      <c r="AO12" s="3573">
        <v>50089</v>
      </c>
      <c r="AP12" s="3573" t="s">
        <v>3250</v>
      </c>
      <c r="AQ12" s="3573">
        <v>0</v>
      </c>
      <c r="AR12" s="3573" t="s">
        <v>3350</v>
      </c>
      <c r="AS12" s="3573">
        <v>589050</v>
      </c>
      <c r="AT12" s="3573" t="s">
        <v>3273</v>
      </c>
      <c r="AU12" s="3573">
        <v>81000</v>
      </c>
      <c r="AV12" s="3573">
        <v>44625</v>
      </c>
      <c r="AW12" s="3577">
        <v>5</v>
      </c>
      <c r="AX12" s="3573">
        <v>38500</v>
      </c>
    </row>
    <row r="13" spans="1:50" s="3574" customFormat="1">
      <c r="A13" s="3573" t="s">
        <v>3351</v>
      </c>
      <c r="B13" s="3573" t="s">
        <v>3172</v>
      </c>
      <c r="C13" s="3573" t="s">
        <v>3352</v>
      </c>
      <c r="D13" s="3573" t="s">
        <v>3240</v>
      </c>
      <c r="E13" s="3573" t="s">
        <v>3241</v>
      </c>
      <c r="F13" s="3573" t="s">
        <v>3283</v>
      </c>
      <c r="G13" s="3573" t="s">
        <v>3284</v>
      </c>
      <c r="H13" s="3573" t="s">
        <v>3244</v>
      </c>
      <c r="I13" s="3573">
        <v>27366.58</v>
      </c>
      <c r="J13" s="3573">
        <v>68416</v>
      </c>
      <c r="K13" s="3573">
        <v>2.5</v>
      </c>
      <c r="L13" s="3573" t="s">
        <v>3246</v>
      </c>
      <c r="M13" s="3573" t="s">
        <v>3247</v>
      </c>
      <c r="N13" s="3573" t="s">
        <v>3353</v>
      </c>
      <c r="O13" s="3573" t="s">
        <v>3249</v>
      </c>
      <c r="P13" s="3573" t="s">
        <v>3250</v>
      </c>
      <c r="Q13" s="3573" t="s">
        <v>3354</v>
      </c>
      <c r="R13" s="3573" t="s">
        <v>3355</v>
      </c>
      <c r="S13" s="3573" t="s">
        <v>3356</v>
      </c>
      <c r="T13" s="3573" t="s">
        <v>3250</v>
      </c>
      <c r="U13" s="3573" t="s">
        <v>3250</v>
      </c>
      <c r="V13" s="3573" t="s">
        <v>3250</v>
      </c>
      <c r="W13" s="3573">
        <v>0</v>
      </c>
      <c r="X13" s="3573">
        <v>0</v>
      </c>
      <c r="Y13" s="2423">
        <v>44438.000497685185</v>
      </c>
      <c r="Z13" s="2423">
        <v>44462.000497685185</v>
      </c>
      <c r="AA13" s="2423">
        <v>44481.000497685185</v>
      </c>
      <c r="AB13" s="3573">
        <v>44481.000497685185</v>
      </c>
      <c r="AC13" s="3573" t="s">
        <v>3357</v>
      </c>
      <c r="AD13" s="3573" t="s">
        <v>3253</v>
      </c>
      <c r="AE13" s="3573" t="s">
        <v>3358</v>
      </c>
      <c r="AF13" s="3573" t="s">
        <v>3359</v>
      </c>
      <c r="AG13" s="3573">
        <v>376000</v>
      </c>
      <c r="AH13" s="3573">
        <v>75500</v>
      </c>
      <c r="AI13" s="3573" t="s">
        <v>3360</v>
      </c>
      <c r="AJ13" s="3573">
        <v>376000</v>
      </c>
      <c r="AK13" s="3573">
        <v>9159.59</v>
      </c>
      <c r="AL13" s="3573">
        <v>9159.59</v>
      </c>
      <c r="AM13" s="3573">
        <v>54958</v>
      </c>
      <c r="AN13" s="3573">
        <v>54958</v>
      </c>
      <c r="AO13" s="3573" t="s">
        <v>3250</v>
      </c>
      <c r="AP13" s="3573" t="s">
        <v>3250</v>
      </c>
      <c r="AQ13" s="3573">
        <v>0</v>
      </c>
      <c r="AR13" s="3573" t="s">
        <v>3257</v>
      </c>
      <c r="AS13" s="3573">
        <v>413600</v>
      </c>
      <c r="AT13" s="3573" t="s">
        <v>3273</v>
      </c>
      <c r="AU13" s="3573">
        <v>75000</v>
      </c>
      <c r="AV13" s="3573">
        <v>60454</v>
      </c>
      <c r="AW13" s="3577">
        <v>10</v>
      </c>
      <c r="AX13" s="3573">
        <v>20042</v>
      </c>
    </row>
    <row r="14" spans="1:50" s="3576" customFormat="1">
      <c r="A14" s="3573" t="s">
        <v>3361</v>
      </c>
      <c r="B14" s="3573" t="s">
        <v>3172</v>
      </c>
      <c r="C14" s="3573" t="s">
        <v>3362</v>
      </c>
      <c r="D14" s="3573" t="s">
        <v>3240</v>
      </c>
      <c r="E14" s="3573" t="s">
        <v>3241</v>
      </c>
      <c r="F14" s="3573" t="s">
        <v>3283</v>
      </c>
      <c r="G14" s="3573" t="s">
        <v>3292</v>
      </c>
      <c r="H14" s="3573" t="s">
        <v>3244</v>
      </c>
      <c r="I14" s="3573">
        <v>48808.67</v>
      </c>
      <c r="J14" s="3573">
        <v>122022</v>
      </c>
      <c r="K14" s="3573" t="s">
        <v>3363</v>
      </c>
      <c r="L14" s="3573" t="s">
        <v>3246</v>
      </c>
      <c r="M14" s="3573" t="s">
        <v>3247</v>
      </c>
      <c r="N14" s="3573" t="s">
        <v>3364</v>
      </c>
      <c r="O14" s="3573">
        <v>0</v>
      </c>
      <c r="P14" s="3573" t="s">
        <v>3250</v>
      </c>
      <c r="Q14" s="3573" t="s">
        <v>3365</v>
      </c>
      <c r="R14" s="3573" t="s">
        <v>3366</v>
      </c>
      <c r="S14" s="3573" t="s">
        <v>3366</v>
      </c>
      <c r="T14" s="3573" t="s">
        <v>3367</v>
      </c>
      <c r="U14" s="3573">
        <v>0</v>
      </c>
      <c r="V14" s="3573">
        <v>24400</v>
      </c>
      <c r="W14" s="3573">
        <v>0</v>
      </c>
      <c r="X14" s="3573">
        <v>0</v>
      </c>
      <c r="Y14" s="2423">
        <v>44286.000497685185</v>
      </c>
      <c r="Z14" s="2423">
        <v>44308.000497685185</v>
      </c>
      <c r="AA14" s="2423">
        <v>44324.000497685185</v>
      </c>
      <c r="AB14" s="3573">
        <v>44343.000497685185</v>
      </c>
      <c r="AC14" s="3573" t="s">
        <v>3368</v>
      </c>
      <c r="AD14" s="3573" t="s">
        <v>3253</v>
      </c>
      <c r="AE14" s="3573" t="s">
        <v>3369</v>
      </c>
      <c r="AF14" s="3573" t="s">
        <v>3370</v>
      </c>
      <c r="AG14" s="3573">
        <v>519000</v>
      </c>
      <c r="AH14" s="3573">
        <v>104000</v>
      </c>
      <c r="AI14" s="3573" t="s">
        <v>3371</v>
      </c>
      <c r="AJ14" s="3573">
        <v>545000</v>
      </c>
      <c r="AK14" s="3573">
        <v>7088.9</v>
      </c>
      <c r="AL14" s="3573">
        <v>7444.03</v>
      </c>
      <c r="AM14" s="3573">
        <v>42533</v>
      </c>
      <c r="AN14" s="3573">
        <v>44664</v>
      </c>
      <c r="AO14" s="3573" t="s">
        <v>3250</v>
      </c>
      <c r="AP14" s="3573">
        <v>55828</v>
      </c>
      <c r="AQ14" s="3573">
        <v>5.01</v>
      </c>
      <c r="AR14" s="3573" t="s">
        <v>3372</v>
      </c>
      <c r="AS14" s="3573">
        <v>545000</v>
      </c>
      <c r="AT14" s="3573" t="s">
        <v>3258</v>
      </c>
      <c r="AU14" s="3573" t="s">
        <v>3249</v>
      </c>
      <c r="AV14" s="3573">
        <v>44664</v>
      </c>
      <c r="AW14" s="3577">
        <v>5.01</v>
      </c>
      <c r="AX14" s="3573" t="s">
        <v>3250</v>
      </c>
    </row>
    <row r="15" spans="1:50">
      <c r="A15" s="3573" t="s">
        <v>3373</v>
      </c>
      <c r="B15" s="3573" t="s">
        <v>3172</v>
      </c>
      <c r="C15" s="3573" t="s">
        <v>3374</v>
      </c>
      <c r="D15" s="3573" t="s">
        <v>3240</v>
      </c>
      <c r="E15" s="3573" t="s">
        <v>3241</v>
      </c>
      <c r="F15" s="3573" t="s">
        <v>3283</v>
      </c>
      <c r="G15" s="3573" t="s">
        <v>3292</v>
      </c>
      <c r="H15" s="3573" t="s">
        <v>3263</v>
      </c>
      <c r="I15" s="3573">
        <v>32742.57</v>
      </c>
      <c r="J15" s="3573">
        <v>73016</v>
      </c>
      <c r="K15" s="3573" t="s">
        <v>3375</v>
      </c>
      <c r="L15" s="3573" t="s">
        <v>3246</v>
      </c>
      <c r="M15" s="3573" t="s">
        <v>3265</v>
      </c>
      <c r="N15" s="3573" t="s">
        <v>3364</v>
      </c>
      <c r="O15" s="3573" t="s">
        <v>3249</v>
      </c>
      <c r="P15" s="3573" t="s">
        <v>3250</v>
      </c>
      <c r="Q15" s="3573" t="s">
        <v>3376</v>
      </c>
      <c r="R15" s="3573" t="s">
        <v>3366</v>
      </c>
      <c r="S15" s="3573" t="s">
        <v>3366</v>
      </c>
      <c r="T15" s="3573" t="s">
        <v>3367</v>
      </c>
      <c r="U15" s="3573">
        <v>0</v>
      </c>
      <c r="V15" s="3573">
        <v>13800</v>
      </c>
      <c r="W15" s="3573">
        <v>0</v>
      </c>
      <c r="X15" s="3573">
        <v>0</v>
      </c>
      <c r="Y15" s="2423">
        <v>44286.000497685185</v>
      </c>
      <c r="Z15" s="2423">
        <v>44308.000497685185</v>
      </c>
      <c r="AA15" s="2423">
        <v>44324.000497685185</v>
      </c>
      <c r="AB15" s="3573">
        <v>44343.000497685185</v>
      </c>
      <c r="AC15" s="3573" t="s">
        <v>3377</v>
      </c>
      <c r="AD15" s="3573" t="s">
        <v>3253</v>
      </c>
      <c r="AE15" s="3573" t="s">
        <v>3378</v>
      </c>
      <c r="AF15" s="3573" t="s">
        <v>3379</v>
      </c>
      <c r="AG15" s="3573">
        <v>294500</v>
      </c>
      <c r="AH15" s="3573">
        <v>59000</v>
      </c>
      <c r="AI15" s="3573" t="s">
        <v>3371</v>
      </c>
      <c r="AJ15" s="3573">
        <v>309500</v>
      </c>
      <c r="AK15" s="3573">
        <v>5996.27</v>
      </c>
      <c r="AL15" s="3573">
        <v>6301.68</v>
      </c>
      <c r="AM15" s="3573">
        <v>40334</v>
      </c>
      <c r="AN15" s="3573">
        <v>42388</v>
      </c>
      <c r="AO15" s="3573" t="s">
        <v>3250</v>
      </c>
      <c r="AP15" s="3573">
        <v>52266</v>
      </c>
      <c r="AQ15" s="3573">
        <v>5.09</v>
      </c>
      <c r="AR15" s="3573" t="s">
        <v>3372</v>
      </c>
      <c r="AS15" s="3573">
        <v>309500</v>
      </c>
      <c r="AT15" s="3573" t="s">
        <v>3258</v>
      </c>
      <c r="AU15" s="3573" t="s">
        <v>3249</v>
      </c>
      <c r="AV15" s="3573">
        <v>42388</v>
      </c>
      <c r="AW15" s="3577">
        <v>5.09</v>
      </c>
      <c r="AX15" s="3573" t="s">
        <v>3250</v>
      </c>
    </row>
    <row r="16" spans="1:50">
      <c r="A16" s="3573" t="s">
        <v>3380</v>
      </c>
      <c r="B16" s="3573" t="s">
        <v>3172</v>
      </c>
      <c r="C16" s="3573" t="s">
        <v>3381</v>
      </c>
      <c r="D16" s="3573" t="s">
        <v>3240</v>
      </c>
      <c r="E16" s="3573" t="s">
        <v>3241</v>
      </c>
      <c r="F16" s="3573" t="s">
        <v>3302</v>
      </c>
      <c r="G16" s="3573" t="s">
        <v>3262</v>
      </c>
      <c r="H16" s="3573" t="s">
        <v>3263</v>
      </c>
      <c r="I16" s="3573">
        <v>23471.66</v>
      </c>
      <c r="J16" s="3573">
        <v>70415</v>
      </c>
      <c r="K16" s="3573" t="s">
        <v>3382</v>
      </c>
      <c r="L16" s="3573" t="s">
        <v>3246</v>
      </c>
      <c r="M16" s="3573" t="s">
        <v>3383</v>
      </c>
      <c r="N16" s="3573" t="s">
        <v>3364</v>
      </c>
      <c r="O16" s="3573" t="s">
        <v>3249</v>
      </c>
      <c r="P16" s="3573" t="s">
        <v>3384</v>
      </c>
      <c r="Q16" s="3573" t="s">
        <v>3385</v>
      </c>
      <c r="R16" s="3573" t="s">
        <v>3386</v>
      </c>
      <c r="S16" s="3573" t="s">
        <v>3386</v>
      </c>
      <c r="T16" s="3573" t="s">
        <v>3250</v>
      </c>
      <c r="U16" s="3573" t="s">
        <v>3250</v>
      </c>
      <c r="V16" s="3573">
        <v>0</v>
      </c>
      <c r="W16" s="3573">
        <v>0</v>
      </c>
      <c r="X16" s="3573">
        <v>0</v>
      </c>
      <c r="Y16" s="2423">
        <v>44286.000497685185</v>
      </c>
      <c r="Z16" s="2423">
        <v>44308.000497685185</v>
      </c>
      <c r="AA16" s="2423">
        <v>44324.000497685185</v>
      </c>
      <c r="AB16" s="3573">
        <v>44343.000497685185</v>
      </c>
      <c r="AC16" s="3573" t="s">
        <v>3387</v>
      </c>
      <c r="AD16" s="3573" t="s">
        <v>3253</v>
      </c>
      <c r="AE16" s="3573" t="s">
        <v>3388</v>
      </c>
      <c r="AF16" s="3573" t="s">
        <v>3389</v>
      </c>
      <c r="AG16" s="3573">
        <v>243500</v>
      </c>
      <c r="AH16" s="3573">
        <v>49000</v>
      </c>
      <c r="AI16" s="3573" t="s">
        <v>3371</v>
      </c>
      <c r="AJ16" s="3573">
        <v>280000</v>
      </c>
      <c r="AK16" s="3573">
        <v>6916.14</v>
      </c>
      <c r="AL16" s="3573">
        <v>7952.85</v>
      </c>
      <c r="AM16" s="3573">
        <v>34581</v>
      </c>
      <c r="AN16" s="3573">
        <v>39764</v>
      </c>
      <c r="AO16" s="3573" t="s">
        <v>3250</v>
      </c>
      <c r="AP16" s="3573" t="s">
        <v>3250</v>
      </c>
      <c r="AQ16" s="3573">
        <v>14.99</v>
      </c>
      <c r="AR16" s="3573" t="s">
        <v>3372</v>
      </c>
      <c r="AS16" s="3573">
        <v>280000</v>
      </c>
      <c r="AT16" s="3573" t="s">
        <v>3258</v>
      </c>
      <c r="AU16" s="3573" t="s">
        <v>3249</v>
      </c>
      <c r="AV16" s="3573">
        <v>39764</v>
      </c>
      <c r="AW16" s="3577">
        <v>14.99</v>
      </c>
      <c r="AX16" s="3573" t="s">
        <v>3250</v>
      </c>
    </row>
    <row r="17" spans="1:50">
      <c r="A17" s="3573" t="s">
        <v>3390</v>
      </c>
      <c r="B17" s="3573" t="s">
        <v>3172</v>
      </c>
      <c r="C17" s="3573" t="s">
        <v>3391</v>
      </c>
      <c r="D17" s="3573" t="s">
        <v>3240</v>
      </c>
      <c r="E17" s="3573" t="s">
        <v>3241</v>
      </c>
      <c r="F17" s="3573" t="s">
        <v>3392</v>
      </c>
      <c r="G17" s="3573" t="s">
        <v>3393</v>
      </c>
      <c r="H17" s="3573" t="s">
        <v>3263</v>
      </c>
      <c r="I17" s="3573">
        <v>85059.12</v>
      </c>
      <c r="J17" s="3573">
        <v>242377.36</v>
      </c>
      <c r="K17" s="3573" t="s">
        <v>3245</v>
      </c>
      <c r="L17" s="3573" t="s">
        <v>3246</v>
      </c>
      <c r="M17" s="3573" t="s">
        <v>3383</v>
      </c>
      <c r="N17" s="3573" t="s">
        <v>3364</v>
      </c>
      <c r="O17" s="3573" t="s">
        <v>3249</v>
      </c>
      <c r="P17" s="3573" t="s">
        <v>3384</v>
      </c>
      <c r="Q17" s="3573" t="s">
        <v>3250</v>
      </c>
      <c r="R17" s="3573" t="s">
        <v>3386</v>
      </c>
      <c r="S17" s="3573" t="s">
        <v>3386</v>
      </c>
      <c r="T17" s="3573" t="s">
        <v>3250</v>
      </c>
      <c r="U17" s="3573" t="s">
        <v>3250</v>
      </c>
      <c r="V17" s="3573">
        <v>0</v>
      </c>
      <c r="W17" s="3573">
        <v>0</v>
      </c>
      <c r="X17" s="3573">
        <v>0</v>
      </c>
      <c r="Y17" s="2423">
        <v>44286.000497685185</v>
      </c>
      <c r="Z17" s="2423">
        <v>44308.000497685185</v>
      </c>
      <c r="AA17" s="2423">
        <v>44324.000497685185</v>
      </c>
      <c r="AB17" s="3573">
        <v>44342.000497685185</v>
      </c>
      <c r="AC17" s="3573" t="s">
        <v>3394</v>
      </c>
      <c r="AD17" s="3573" t="s">
        <v>3253</v>
      </c>
      <c r="AE17" s="3573" t="s">
        <v>3395</v>
      </c>
      <c r="AF17" s="3573" t="s">
        <v>3312</v>
      </c>
      <c r="AG17" s="3573">
        <v>593000</v>
      </c>
      <c r="AH17" s="3573">
        <v>120000</v>
      </c>
      <c r="AI17" s="3573" t="s">
        <v>3371</v>
      </c>
      <c r="AJ17" s="3573">
        <v>682000</v>
      </c>
      <c r="AK17" s="3573">
        <v>4647.75</v>
      </c>
      <c r="AL17" s="3573">
        <v>5345.3</v>
      </c>
      <c r="AM17" s="3573">
        <v>24466</v>
      </c>
      <c r="AN17" s="3573">
        <v>28138</v>
      </c>
      <c r="AO17" s="3573" t="s">
        <v>3250</v>
      </c>
      <c r="AP17" s="3573" t="s">
        <v>3250</v>
      </c>
      <c r="AQ17" s="3573">
        <v>15.01</v>
      </c>
      <c r="AR17" s="3573" t="s">
        <v>3372</v>
      </c>
      <c r="AS17" s="3573">
        <v>682000</v>
      </c>
      <c r="AT17" s="3573" t="s">
        <v>3258</v>
      </c>
      <c r="AU17" s="3573" t="s">
        <v>3249</v>
      </c>
      <c r="AV17" s="3573">
        <v>28138</v>
      </c>
      <c r="AW17" s="3577">
        <v>15.01</v>
      </c>
      <c r="AX17" s="3573" t="s">
        <v>3250</v>
      </c>
    </row>
    <row r="18" spans="1:50">
      <c r="A18" s="3573" t="s">
        <v>3396</v>
      </c>
      <c r="B18" s="3573" t="s">
        <v>3172</v>
      </c>
      <c r="C18" s="3573" t="s">
        <v>3397</v>
      </c>
      <c r="D18" s="3573" t="s">
        <v>3240</v>
      </c>
      <c r="E18" s="3573" t="s">
        <v>3241</v>
      </c>
      <c r="F18" s="3573" t="s">
        <v>3283</v>
      </c>
      <c r="G18" s="3573" t="s">
        <v>3292</v>
      </c>
      <c r="H18" s="3573" t="s">
        <v>3244</v>
      </c>
      <c r="I18" s="3573">
        <v>32382.01</v>
      </c>
      <c r="J18" s="3573">
        <v>80955</v>
      </c>
      <c r="K18" s="3573" t="s">
        <v>3363</v>
      </c>
      <c r="L18" s="3573" t="s">
        <v>3246</v>
      </c>
      <c r="M18" s="3573" t="s">
        <v>3247</v>
      </c>
      <c r="N18" s="3573" t="s">
        <v>3364</v>
      </c>
      <c r="O18" s="3573" t="s">
        <v>3249</v>
      </c>
      <c r="P18" s="3573" t="s">
        <v>3250</v>
      </c>
      <c r="Q18" s="3573" t="s">
        <v>3365</v>
      </c>
      <c r="R18" s="3573" t="s">
        <v>3366</v>
      </c>
      <c r="S18" s="3573" t="s">
        <v>3366</v>
      </c>
      <c r="T18" s="3573" t="s">
        <v>3367</v>
      </c>
      <c r="U18" s="3573">
        <v>0</v>
      </c>
      <c r="V18" s="3573">
        <v>13900</v>
      </c>
      <c r="W18" s="3573">
        <v>0</v>
      </c>
      <c r="X18" s="3573">
        <v>0</v>
      </c>
      <c r="Y18" s="2423">
        <v>44286.000497685185</v>
      </c>
      <c r="Z18" s="2423">
        <v>44308.000497685185</v>
      </c>
      <c r="AA18" s="2423">
        <v>44324.000497685185</v>
      </c>
      <c r="AB18" s="3573">
        <v>44340.000497685185</v>
      </c>
      <c r="AC18" s="3573" t="s">
        <v>3398</v>
      </c>
      <c r="AD18" s="3573" t="s">
        <v>3253</v>
      </c>
      <c r="AE18" s="3573" t="s">
        <v>3399</v>
      </c>
      <c r="AF18" s="3573" t="s">
        <v>3400</v>
      </c>
      <c r="AG18" s="3573">
        <v>300000</v>
      </c>
      <c r="AH18" s="3573">
        <v>60000</v>
      </c>
      <c r="AI18" s="3573" t="s">
        <v>3371</v>
      </c>
      <c r="AJ18" s="3573">
        <v>315000</v>
      </c>
      <c r="AK18" s="3573">
        <v>6176.27</v>
      </c>
      <c r="AL18" s="3573">
        <v>6485.08</v>
      </c>
      <c r="AM18" s="3573">
        <v>37058</v>
      </c>
      <c r="AN18" s="3573">
        <v>38911</v>
      </c>
      <c r="AO18" s="3573" t="s">
        <v>3250</v>
      </c>
      <c r="AP18" s="3573">
        <v>46976</v>
      </c>
      <c r="AQ18" s="3573">
        <v>5</v>
      </c>
      <c r="AR18" s="3573" t="s">
        <v>3372</v>
      </c>
      <c r="AS18" s="3573" t="s">
        <v>3249</v>
      </c>
      <c r="AT18" s="3573" t="s">
        <v>3250</v>
      </c>
      <c r="AU18" s="3573" t="s">
        <v>3249</v>
      </c>
      <c r="AV18" s="3573" t="s">
        <v>3250</v>
      </c>
      <c r="AW18" s="3577" t="s">
        <v>3250</v>
      </c>
      <c r="AX18" s="3573" t="s">
        <v>3250</v>
      </c>
    </row>
    <row r="19" spans="1:50">
      <c r="A19" s="3574" t="s">
        <v>3401</v>
      </c>
      <c r="B19" s="3574" t="s">
        <v>3172</v>
      </c>
      <c r="C19" s="3574" t="s">
        <v>3402</v>
      </c>
      <c r="D19" s="3574" t="s">
        <v>3240</v>
      </c>
      <c r="E19" s="3574" t="s">
        <v>3241</v>
      </c>
      <c r="F19" s="3574" t="s">
        <v>3403</v>
      </c>
      <c r="G19" s="3574" t="s">
        <v>3404</v>
      </c>
      <c r="H19" s="3574" t="s">
        <v>3244</v>
      </c>
      <c r="I19" s="3574">
        <v>38953.300000000003</v>
      </c>
      <c r="J19" s="3574">
        <v>50639</v>
      </c>
      <c r="K19" s="3574" t="s">
        <v>3405</v>
      </c>
      <c r="L19" s="3574" t="s">
        <v>3246</v>
      </c>
      <c r="M19" s="3574" t="s">
        <v>3247</v>
      </c>
      <c r="N19" s="3574" t="s">
        <v>3364</v>
      </c>
      <c r="O19" s="3574" t="s">
        <v>3249</v>
      </c>
      <c r="P19" s="3574" t="s">
        <v>3384</v>
      </c>
      <c r="Q19" s="3574" t="s">
        <v>3406</v>
      </c>
      <c r="R19" s="3574" t="s">
        <v>3407</v>
      </c>
      <c r="S19" s="3574" t="s">
        <v>3408</v>
      </c>
      <c r="T19" s="3574" t="s">
        <v>3250</v>
      </c>
      <c r="U19" s="3574" t="s">
        <v>3250</v>
      </c>
      <c r="V19" s="3574">
        <v>0</v>
      </c>
      <c r="W19" s="3574">
        <v>0</v>
      </c>
      <c r="X19" s="3574">
        <v>0</v>
      </c>
      <c r="Y19" s="2424">
        <v>44286.000497685185</v>
      </c>
      <c r="Z19" s="2424">
        <v>44308.000497685185</v>
      </c>
      <c r="AA19" s="2424">
        <v>44324.000497685185</v>
      </c>
      <c r="AB19" s="3574">
        <v>44326.000497685185</v>
      </c>
      <c r="AC19" s="3574" t="s">
        <v>3409</v>
      </c>
      <c r="AD19" s="3574" t="s">
        <v>3253</v>
      </c>
      <c r="AE19" s="3574" t="s">
        <v>3410</v>
      </c>
      <c r="AF19" s="3574" t="s">
        <v>3411</v>
      </c>
      <c r="AG19" s="3574">
        <v>258300</v>
      </c>
      <c r="AH19" s="3574">
        <v>51660</v>
      </c>
      <c r="AI19" s="3574" t="s">
        <v>3371</v>
      </c>
      <c r="AJ19" s="3574">
        <v>268300</v>
      </c>
      <c r="AK19" s="3574">
        <v>4420.68</v>
      </c>
      <c r="AL19" s="3574">
        <v>4591.82</v>
      </c>
      <c r="AM19" s="3574">
        <v>51008</v>
      </c>
      <c r="AN19" s="3574">
        <v>52983</v>
      </c>
      <c r="AO19" s="3574" t="s">
        <v>3250</v>
      </c>
      <c r="AP19" s="3574" t="s">
        <v>3250</v>
      </c>
      <c r="AQ19" s="3574">
        <v>3.87</v>
      </c>
      <c r="AR19" s="3574" t="s">
        <v>3372</v>
      </c>
      <c r="AS19" s="3574">
        <v>268300</v>
      </c>
      <c r="AT19" s="3574" t="s">
        <v>3258</v>
      </c>
      <c r="AU19" s="3574">
        <v>76000</v>
      </c>
      <c r="AV19" s="3574">
        <v>52983</v>
      </c>
      <c r="AW19" s="3578">
        <v>3.87</v>
      </c>
      <c r="AX19" s="3574" t="s">
        <v>3250</v>
      </c>
    </row>
    <row r="20" spans="1:50">
      <c r="A20" s="3576" t="s">
        <v>3412</v>
      </c>
      <c r="B20" s="3576" t="s">
        <v>3172</v>
      </c>
      <c r="C20" s="3576" t="s">
        <v>3413</v>
      </c>
      <c r="D20" s="3576" t="s">
        <v>3240</v>
      </c>
      <c r="E20" s="3576" t="s">
        <v>3241</v>
      </c>
      <c r="F20" s="3576" t="s">
        <v>3403</v>
      </c>
      <c r="G20" s="3576" t="s">
        <v>3404</v>
      </c>
      <c r="H20" s="3576" t="s">
        <v>3244</v>
      </c>
      <c r="I20" s="3576">
        <v>57008.47</v>
      </c>
      <c r="J20" s="3576">
        <v>74111</v>
      </c>
      <c r="K20" s="3576" t="s">
        <v>3405</v>
      </c>
      <c r="L20" s="3576" t="s">
        <v>3246</v>
      </c>
      <c r="M20" s="3576" t="s">
        <v>3247</v>
      </c>
      <c r="N20" s="3576" t="s">
        <v>3364</v>
      </c>
      <c r="O20" s="3576" t="s">
        <v>3249</v>
      </c>
      <c r="P20" s="3576" t="s">
        <v>3384</v>
      </c>
      <c r="Q20" s="3576" t="s">
        <v>3406</v>
      </c>
      <c r="R20" s="3576" t="s">
        <v>3407</v>
      </c>
      <c r="S20" s="3576" t="s">
        <v>3408</v>
      </c>
      <c r="T20" s="3576" t="s">
        <v>3250</v>
      </c>
      <c r="U20" s="3576">
        <v>0</v>
      </c>
      <c r="V20" s="3576">
        <v>0</v>
      </c>
      <c r="W20" s="3576">
        <v>0</v>
      </c>
      <c r="X20" s="3576">
        <v>0</v>
      </c>
      <c r="Y20" s="2426">
        <v>44286.000497685185</v>
      </c>
      <c r="Z20" s="2426">
        <v>44308.000497685185</v>
      </c>
      <c r="AA20" s="2426">
        <v>44324.000497685185</v>
      </c>
      <c r="AB20" s="3576">
        <v>44326.000497685185</v>
      </c>
      <c r="AC20" s="3576" t="s">
        <v>3414</v>
      </c>
      <c r="AD20" s="3576" t="s">
        <v>3253</v>
      </c>
      <c r="AE20" s="3576" t="s">
        <v>3415</v>
      </c>
      <c r="AF20" s="3576" t="s">
        <v>3416</v>
      </c>
      <c r="AG20" s="3576">
        <v>378000</v>
      </c>
      <c r="AH20" s="3576">
        <v>76000</v>
      </c>
      <c r="AI20" s="3576" t="s">
        <v>3371</v>
      </c>
      <c r="AJ20" s="3576">
        <v>392700</v>
      </c>
      <c r="AK20" s="3576">
        <v>4420.3999999999996</v>
      </c>
      <c r="AL20" s="3576">
        <v>4592.3</v>
      </c>
      <c r="AM20" s="3576">
        <v>51005</v>
      </c>
      <c r="AN20" s="3576">
        <v>52988</v>
      </c>
      <c r="AO20" s="3576" t="s">
        <v>3250</v>
      </c>
      <c r="AP20" s="3576" t="s">
        <v>3250</v>
      </c>
      <c r="AQ20" s="3576">
        <v>3.89</v>
      </c>
      <c r="AR20" s="3576" t="s">
        <v>3372</v>
      </c>
      <c r="AS20" s="3576">
        <v>392700</v>
      </c>
      <c r="AT20" s="3576" t="s">
        <v>3258</v>
      </c>
      <c r="AU20" s="3576">
        <v>76000</v>
      </c>
      <c r="AV20" s="3576">
        <v>52988</v>
      </c>
      <c r="AW20" s="3580">
        <v>3.89</v>
      </c>
      <c r="AX20" s="3576" t="s">
        <v>3250</v>
      </c>
    </row>
    <row r="21" spans="1:50">
      <c r="A21" s="3573" t="s">
        <v>3417</v>
      </c>
      <c r="B21" s="3573" t="s">
        <v>3172</v>
      </c>
      <c r="C21" s="3573" t="s">
        <v>3418</v>
      </c>
      <c r="D21" s="3573" t="s">
        <v>3240</v>
      </c>
      <c r="E21" s="3573" t="s">
        <v>3241</v>
      </c>
      <c r="F21" s="3573" t="s">
        <v>3302</v>
      </c>
      <c r="G21" s="3573" t="s">
        <v>3419</v>
      </c>
      <c r="H21" s="3573" t="s">
        <v>3244</v>
      </c>
      <c r="I21" s="3573">
        <v>17102.490000000002</v>
      </c>
      <c r="J21" s="3573">
        <v>47887</v>
      </c>
      <c r="K21" s="3573" t="s">
        <v>3245</v>
      </c>
      <c r="L21" s="3573" t="s">
        <v>3246</v>
      </c>
      <c r="M21" s="3573" t="s">
        <v>3247</v>
      </c>
      <c r="N21" s="3573" t="s">
        <v>3364</v>
      </c>
      <c r="O21" s="3573" t="s">
        <v>3249</v>
      </c>
      <c r="P21" s="3573" t="s">
        <v>3250</v>
      </c>
      <c r="Q21" s="3573" t="s">
        <v>3420</v>
      </c>
      <c r="R21" s="3573" t="s">
        <v>3366</v>
      </c>
      <c r="S21" s="3573" t="s">
        <v>3421</v>
      </c>
      <c r="T21" s="3573" t="s">
        <v>3367</v>
      </c>
      <c r="U21" s="3573">
        <v>0</v>
      </c>
      <c r="V21" s="3573">
        <v>10000</v>
      </c>
      <c r="W21" s="3573">
        <v>0</v>
      </c>
      <c r="X21" s="3573">
        <v>0</v>
      </c>
      <c r="Y21" s="2423">
        <v>44286.000497685185</v>
      </c>
      <c r="Z21" s="2423">
        <v>44308.000497685185</v>
      </c>
      <c r="AA21" s="2423">
        <v>44324.000497685185</v>
      </c>
      <c r="AB21" s="3573">
        <v>44326.000497685185</v>
      </c>
      <c r="AC21" s="3573" t="s">
        <v>3422</v>
      </c>
      <c r="AD21" s="3573" t="s">
        <v>3253</v>
      </c>
      <c r="AE21" s="3573" t="s">
        <v>3423</v>
      </c>
      <c r="AF21" s="3573" t="s">
        <v>3424</v>
      </c>
      <c r="AG21" s="3573">
        <v>217000</v>
      </c>
      <c r="AH21" s="3573">
        <v>44000</v>
      </c>
      <c r="AI21" s="3573" t="s">
        <v>3371</v>
      </c>
      <c r="AJ21" s="3573">
        <v>228000</v>
      </c>
      <c r="AK21" s="3573">
        <v>8458.81</v>
      </c>
      <c r="AL21" s="3573">
        <v>8887.59</v>
      </c>
      <c r="AM21" s="3573">
        <v>45315</v>
      </c>
      <c r="AN21" s="3573">
        <v>47612</v>
      </c>
      <c r="AO21" s="3573" t="s">
        <v>3250</v>
      </c>
      <c r="AP21" s="3573">
        <v>60179</v>
      </c>
      <c r="AQ21" s="3573">
        <v>5.07</v>
      </c>
      <c r="AR21" s="3573" t="s">
        <v>3372</v>
      </c>
      <c r="AS21" s="3573">
        <v>228000</v>
      </c>
      <c r="AT21" s="3573" t="s">
        <v>3258</v>
      </c>
      <c r="AU21" s="3573" t="s">
        <v>3249</v>
      </c>
      <c r="AV21" s="3573">
        <v>47612</v>
      </c>
      <c r="AW21" s="3577">
        <v>5.07</v>
      </c>
      <c r="AX21" s="3573" t="s">
        <v>3250</v>
      </c>
    </row>
    <row r="22" spans="1:50">
      <c r="A22" s="3573" t="s">
        <v>3425</v>
      </c>
      <c r="B22" s="3573" t="s">
        <v>3172</v>
      </c>
      <c r="C22" s="3573" t="s">
        <v>3426</v>
      </c>
      <c r="D22" s="3573" t="s">
        <v>3240</v>
      </c>
      <c r="E22" s="3573" t="s">
        <v>3241</v>
      </c>
      <c r="F22" s="3573" t="s">
        <v>3302</v>
      </c>
      <c r="G22" s="3573" t="s">
        <v>3262</v>
      </c>
      <c r="H22" s="3573" t="s">
        <v>3244</v>
      </c>
      <c r="I22" s="3573">
        <v>34118.69</v>
      </c>
      <c r="J22" s="3573">
        <v>85297</v>
      </c>
      <c r="K22" s="3573" t="s">
        <v>3285</v>
      </c>
      <c r="L22" s="3573" t="s">
        <v>3246</v>
      </c>
      <c r="M22" s="3573" t="s">
        <v>3247</v>
      </c>
      <c r="N22" s="3573" t="s">
        <v>3364</v>
      </c>
      <c r="O22" s="3573" t="s">
        <v>3249</v>
      </c>
      <c r="P22" s="3573" t="s">
        <v>3384</v>
      </c>
      <c r="Q22" s="3573" t="s">
        <v>3385</v>
      </c>
      <c r="R22" s="3573" t="s">
        <v>3366</v>
      </c>
      <c r="S22" s="3573" t="s">
        <v>3421</v>
      </c>
      <c r="T22" s="3573" t="s">
        <v>3367</v>
      </c>
      <c r="U22" s="3573">
        <v>8600</v>
      </c>
      <c r="V22" s="3573">
        <v>28600</v>
      </c>
      <c r="W22" s="3573">
        <v>0</v>
      </c>
      <c r="X22" s="3573">
        <v>0</v>
      </c>
      <c r="Y22" s="2423">
        <v>44286.000497685185</v>
      </c>
      <c r="Z22" s="2423">
        <v>44308.000497685185</v>
      </c>
      <c r="AA22" s="2423">
        <v>44324.000497685185</v>
      </c>
      <c r="AB22" s="3573">
        <v>44326.000497685185</v>
      </c>
      <c r="AC22" s="3573" t="s">
        <v>3427</v>
      </c>
      <c r="AD22" s="3573" t="s">
        <v>3253</v>
      </c>
      <c r="AE22" s="3573" t="s">
        <v>3428</v>
      </c>
      <c r="AF22" s="3573" t="s">
        <v>3429</v>
      </c>
      <c r="AG22" s="3573">
        <v>367000</v>
      </c>
      <c r="AH22" s="3573">
        <v>74000</v>
      </c>
      <c r="AI22" s="3573" t="s">
        <v>3371</v>
      </c>
      <c r="AJ22" s="3573">
        <v>422000</v>
      </c>
      <c r="AK22" s="3573">
        <v>7171.05</v>
      </c>
      <c r="AL22" s="3573">
        <v>8245.7199999999993</v>
      </c>
      <c r="AM22" s="3573">
        <v>43026</v>
      </c>
      <c r="AN22" s="3573">
        <v>49474</v>
      </c>
      <c r="AO22" s="3573">
        <v>47851</v>
      </c>
      <c r="AP22" s="3573">
        <v>74431</v>
      </c>
      <c r="AQ22" s="3573">
        <v>14.99</v>
      </c>
      <c r="AR22" s="3573" t="s">
        <v>3372</v>
      </c>
      <c r="AS22" s="3573">
        <v>422000</v>
      </c>
      <c r="AT22" s="3573" t="s">
        <v>3258</v>
      </c>
      <c r="AU22" s="3573" t="s">
        <v>3249</v>
      </c>
      <c r="AV22" s="3573">
        <v>49474</v>
      </c>
      <c r="AW22" s="3577">
        <v>14.99</v>
      </c>
      <c r="AX22" s="3573" t="s">
        <v>3250</v>
      </c>
    </row>
    <row r="23" spans="1:50">
      <c r="A23" s="3573" t="s">
        <v>3430</v>
      </c>
      <c r="B23" s="3573" t="s">
        <v>3172</v>
      </c>
      <c r="C23" s="3573" t="s">
        <v>3431</v>
      </c>
      <c r="D23" s="3573" t="s">
        <v>3240</v>
      </c>
      <c r="E23" s="3573" t="s">
        <v>3241</v>
      </c>
      <c r="F23" s="3573" t="s">
        <v>3302</v>
      </c>
      <c r="G23" s="3573" t="s">
        <v>3262</v>
      </c>
      <c r="H23" s="3573" t="s">
        <v>3244</v>
      </c>
      <c r="I23" s="3573">
        <v>41186.94</v>
      </c>
      <c r="J23" s="3573">
        <v>102967</v>
      </c>
      <c r="K23" s="3573" t="s">
        <v>3285</v>
      </c>
      <c r="L23" s="3573" t="s">
        <v>3246</v>
      </c>
      <c r="M23" s="3573" t="s">
        <v>3247</v>
      </c>
      <c r="N23" s="3573" t="s">
        <v>3364</v>
      </c>
      <c r="O23" s="3573" t="s">
        <v>3249</v>
      </c>
      <c r="P23" s="3573" t="s">
        <v>3384</v>
      </c>
      <c r="Q23" s="3573" t="s">
        <v>3385</v>
      </c>
      <c r="R23" s="3573" t="s">
        <v>3366</v>
      </c>
      <c r="S23" s="3573" t="s">
        <v>3421</v>
      </c>
      <c r="T23" s="3573" t="s">
        <v>3367</v>
      </c>
      <c r="U23" s="3573">
        <v>10300</v>
      </c>
      <c r="V23" s="3573">
        <v>32300</v>
      </c>
      <c r="W23" s="3573">
        <v>0</v>
      </c>
      <c r="X23" s="3573">
        <v>0</v>
      </c>
      <c r="Y23" s="2423">
        <v>44286.000497685185</v>
      </c>
      <c r="Z23" s="2423">
        <v>44308.000497685185</v>
      </c>
      <c r="AA23" s="2423">
        <v>44324.000497685185</v>
      </c>
      <c r="AB23" s="3573">
        <v>44326.000497685185</v>
      </c>
      <c r="AC23" s="3573" t="s">
        <v>3432</v>
      </c>
      <c r="AD23" s="3573" t="s">
        <v>3253</v>
      </c>
      <c r="AE23" s="3573" t="s">
        <v>3433</v>
      </c>
      <c r="AF23" s="3573" t="s">
        <v>3434</v>
      </c>
      <c r="AG23" s="3573">
        <v>443000</v>
      </c>
      <c r="AH23" s="3573">
        <v>89000</v>
      </c>
      <c r="AI23" s="3573" t="s">
        <v>3371</v>
      </c>
      <c r="AJ23" s="3573">
        <v>509400</v>
      </c>
      <c r="AK23" s="3573">
        <v>7170.56</v>
      </c>
      <c r="AL23" s="3573">
        <v>8245.33</v>
      </c>
      <c r="AM23" s="3573">
        <v>43023</v>
      </c>
      <c r="AN23" s="3573">
        <v>49472</v>
      </c>
      <c r="AO23" s="3573">
        <v>47806</v>
      </c>
      <c r="AP23" s="3573">
        <v>72085</v>
      </c>
      <c r="AQ23" s="3573">
        <v>14.99</v>
      </c>
      <c r="AR23" s="3573" t="s">
        <v>3372</v>
      </c>
      <c r="AS23" s="3573">
        <v>509400</v>
      </c>
      <c r="AT23" s="3573" t="s">
        <v>3258</v>
      </c>
      <c r="AU23" s="3573" t="s">
        <v>3249</v>
      </c>
      <c r="AV23" s="3573">
        <v>49472</v>
      </c>
      <c r="AW23" s="3577">
        <v>14.99</v>
      </c>
      <c r="AX23" s="3573" t="s">
        <v>3250</v>
      </c>
    </row>
    <row r="24" spans="1:50">
      <c r="A24" s="3573" t="s">
        <v>3435</v>
      </c>
      <c r="B24" s="3573" t="s">
        <v>3172</v>
      </c>
      <c r="C24" s="3573" t="s">
        <v>3436</v>
      </c>
      <c r="D24" s="3573" t="s">
        <v>3240</v>
      </c>
      <c r="E24" s="3573" t="s">
        <v>3241</v>
      </c>
      <c r="F24" s="3573" t="s">
        <v>3302</v>
      </c>
      <c r="G24" s="3573" t="s">
        <v>3419</v>
      </c>
      <c r="H24" s="3573" t="s">
        <v>3244</v>
      </c>
      <c r="I24" s="3573">
        <v>26609.75</v>
      </c>
      <c r="J24" s="3573">
        <v>74507</v>
      </c>
      <c r="K24" s="3573" t="s">
        <v>3245</v>
      </c>
      <c r="L24" s="3573" t="s">
        <v>3246</v>
      </c>
      <c r="M24" s="3573" t="s">
        <v>3247</v>
      </c>
      <c r="N24" s="3573" t="s">
        <v>3437</v>
      </c>
      <c r="O24" s="3573" t="s">
        <v>3249</v>
      </c>
      <c r="P24" s="3573" t="s">
        <v>3250</v>
      </c>
      <c r="Q24" s="3573" t="s">
        <v>3438</v>
      </c>
      <c r="R24" s="3573" t="s">
        <v>3439</v>
      </c>
      <c r="S24" s="3573" t="s">
        <v>3440</v>
      </c>
      <c r="T24" s="3573" t="s">
        <v>3250</v>
      </c>
      <c r="U24" s="3573" t="s">
        <v>3250</v>
      </c>
      <c r="V24" s="3573">
        <v>0</v>
      </c>
      <c r="W24" s="3573">
        <v>0</v>
      </c>
      <c r="X24" s="3573">
        <v>0</v>
      </c>
      <c r="Y24" s="2423">
        <v>44145.000497685185</v>
      </c>
      <c r="Z24" s="2423">
        <v>44165.000497685185</v>
      </c>
      <c r="AA24" s="2423">
        <v>44179.000497685185</v>
      </c>
      <c r="AB24" s="3573">
        <v>44179.000497685185</v>
      </c>
      <c r="AC24" s="3573" t="s">
        <v>3441</v>
      </c>
      <c r="AD24" s="3573" t="s">
        <v>3253</v>
      </c>
      <c r="AE24" s="3573" t="s">
        <v>3442</v>
      </c>
      <c r="AF24" s="3573" t="s">
        <v>3443</v>
      </c>
      <c r="AG24" s="3573">
        <v>338400</v>
      </c>
      <c r="AH24" s="3573">
        <v>68000</v>
      </c>
      <c r="AI24" s="3573" t="s">
        <v>3444</v>
      </c>
      <c r="AJ24" s="3573">
        <v>350244</v>
      </c>
      <c r="AK24" s="3573">
        <v>8478.1</v>
      </c>
      <c r="AL24" s="3573">
        <v>8774.83</v>
      </c>
      <c r="AM24" s="3573">
        <v>45419</v>
      </c>
      <c r="AN24" s="3573">
        <v>47008</v>
      </c>
      <c r="AO24" s="3573" t="s">
        <v>3250</v>
      </c>
      <c r="AP24" s="3573" t="s">
        <v>3250</v>
      </c>
      <c r="AQ24" s="3573">
        <v>3.5</v>
      </c>
      <c r="AR24" s="3573" t="s">
        <v>3372</v>
      </c>
      <c r="AS24" s="3573" t="s">
        <v>3249</v>
      </c>
      <c r="AT24" s="3573" t="s">
        <v>3250</v>
      </c>
      <c r="AU24" s="3573">
        <v>71000</v>
      </c>
      <c r="AV24" s="3573" t="s">
        <v>3250</v>
      </c>
      <c r="AW24" s="3577" t="s">
        <v>3250</v>
      </c>
      <c r="AX24" s="3573">
        <v>25581</v>
      </c>
    </row>
    <row r="25" spans="1:50" s="3575" customFormat="1">
      <c r="A25" s="3575" t="s">
        <v>3445</v>
      </c>
      <c r="B25" s="3575" t="s">
        <v>3172</v>
      </c>
      <c r="C25" s="3575" t="s">
        <v>3446</v>
      </c>
      <c r="D25" s="3575" t="s">
        <v>3240</v>
      </c>
      <c r="E25" s="3575" t="s">
        <v>3241</v>
      </c>
      <c r="F25" s="3575" t="s">
        <v>3302</v>
      </c>
      <c r="G25" s="3575" t="s">
        <v>3419</v>
      </c>
      <c r="H25" s="3575" t="s">
        <v>3263</v>
      </c>
      <c r="I25" s="3575">
        <v>20188.580000000002</v>
      </c>
      <c r="J25" s="3575">
        <v>48528</v>
      </c>
      <c r="K25" s="3575" t="s">
        <v>3447</v>
      </c>
      <c r="L25" s="3575" t="s">
        <v>3246</v>
      </c>
      <c r="M25" s="3575" t="s">
        <v>3448</v>
      </c>
      <c r="N25" s="3575" t="s">
        <v>3437</v>
      </c>
      <c r="O25" s="3575" t="s">
        <v>3249</v>
      </c>
      <c r="P25" s="3575" t="s">
        <v>3384</v>
      </c>
      <c r="Q25" s="3575" t="s">
        <v>3449</v>
      </c>
      <c r="R25" s="3575" t="s">
        <v>3450</v>
      </c>
      <c r="S25" s="3575" t="s">
        <v>3356</v>
      </c>
      <c r="T25" s="3575" t="s">
        <v>3250</v>
      </c>
      <c r="U25" s="3575">
        <v>0</v>
      </c>
      <c r="V25" s="3575">
        <v>0</v>
      </c>
      <c r="W25" s="3575">
        <v>0</v>
      </c>
      <c r="X25" s="3575">
        <v>0</v>
      </c>
      <c r="Y25" s="2425">
        <v>43920.000497685185</v>
      </c>
      <c r="Z25" s="2425">
        <v>43950.000497685185</v>
      </c>
      <c r="AA25" s="2425">
        <v>43966.000497685185</v>
      </c>
      <c r="AB25" s="3575">
        <v>43966.000497685185</v>
      </c>
      <c r="AC25" s="3575" t="s">
        <v>3451</v>
      </c>
      <c r="AD25" s="3575" t="s">
        <v>3253</v>
      </c>
      <c r="AE25" s="3575" t="s">
        <v>3452</v>
      </c>
      <c r="AF25" s="3575" t="s">
        <v>3453</v>
      </c>
      <c r="AG25" s="3575">
        <v>205500</v>
      </c>
      <c r="AH25" s="3575">
        <v>41100</v>
      </c>
      <c r="AI25" s="3575" t="s">
        <v>3454</v>
      </c>
      <c r="AJ25" s="3575">
        <v>205500</v>
      </c>
      <c r="AK25" s="3575">
        <v>6786.01</v>
      </c>
      <c r="AL25" s="3575">
        <v>6786.01</v>
      </c>
      <c r="AM25" s="3575">
        <v>42347</v>
      </c>
      <c r="AN25" s="3575">
        <v>42347</v>
      </c>
      <c r="AO25" s="3575" t="s">
        <v>3250</v>
      </c>
      <c r="AP25" s="3575" t="s">
        <v>3250</v>
      </c>
      <c r="AQ25" s="3575">
        <v>0</v>
      </c>
      <c r="AR25" s="3575" t="s">
        <v>3372</v>
      </c>
      <c r="AS25" s="3575" t="s">
        <v>3249</v>
      </c>
      <c r="AT25" s="3575" t="s">
        <v>3250</v>
      </c>
      <c r="AU25" s="3575">
        <v>69422</v>
      </c>
      <c r="AV25" s="3575" t="s">
        <v>3250</v>
      </c>
      <c r="AW25" s="3579" t="s">
        <v>3250</v>
      </c>
      <c r="AX25" s="3575">
        <v>27075</v>
      </c>
    </row>
    <row r="26" spans="1:50" s="3575" customFormat="1">
      <c r="A26" s="3575" t="s">
        <v>3455</v>
      </c>
      <c r="B26" s="3575" t="s">
        <v>3172</v>
      </c>
      <c r="C26" s="3575" t="s">
        <v>3456</v>
      </c>
      <c r="D26" s="3575" t="s">
        <v>3240</v>
      </c>
      <c r="E26" s="3575" t="s">
        <v>3241</v>
      </c>
      <c r="F26" s="3575" t="s">
        <v>3403</v>
      </c>
      <c r="G26" s="3575" t="s">
        <v>3404</v>
      </c>
      <c r="H26" s="3575" t="s">
        <v>3263</v>
      </c>
      <c r="I26" s="3575">
        <v>80892.990000000005</v>
      </c>
      <c r="J26" s="3575">
        <v>112042</v>
      </c>
      <c r="K26" s="3575" t="s">
        <v>3457</v>
      </c>
      <c r="L26" s="3575" t="s">
        <v>3246</v>
      </c>
      <c r="M26" s="3575" t="s">
        <v>3458</v>
      </c>
      <c r="N26" s="3575" t="s">
        <v>3437</v>
      </c>
      <c r="O26" s="3575" t="s">
        <v>3249</v>
      </c>
      <c r="P26" s="3575" t="s">
        <v>3459</v>
      </c>
      <c r="Q26" s="3575" t="s">
        <v>3460</v>
      </c>
      <c r="R26" s="3575" t="s">
        <v>3461</v>
      </c>
      <c r="S26" s="3575" t="s">
        <v>3408</v>
      </c>
      <c r="T26" s="3575" t="s">
        <v>3250</v>
      </c>
      <c r="U26" s="3575">
        <v>0</v>
      </c>
      <c r="V26" s="3575">
        <v>0</v>
      </c>
      <c r="W26" s="3575">
        <v>0</v>
      </c>
      <c r="X26" s="3575">
        <v>0</v>
      </c>
      <c r="Y26" s="2425">
        <v>43889.000497685185</v>
      </c>
      <c r="Z26" s="2425">
        <v>43909.000497685185</v>
      </c>
      <c r="AA26" s="2425">
        <v>43923.000497685185</v>
      </c>
      <c r="AB26" s="3575">
        <v>43923.000497685185</v>
      </c>
      <c r="AC26" s="3575" t="s">
        <v>3462</v>
      </c>
      <c r="AD26" s="3575" t="s">
        <v>3253</v>
      </c>
      <c r="AE26" s="3575" t="s">
        <v>3463</v>
      </c>
      <c r="AF26" s="3575" t="s">
        <v>3464</v>
      </c>
      <c r="AG26" s="3575">
        <v>460000</v>
      </c>
      <c r="AH26" s="3575">
        <v>92000</v>
      </c>
      <c r="AI26" s="3575" t="s">
        <v>3465</v>
      </c>
      <c r="AJ26" s="3575">
        <v>460000</v>
      </c>
      <c r="AK26" s="3575">
        <v>3791.02</v>
      </c>
      <c r="AL26" s="3575">
        <v>3791.02</v>
      </c>
      <c r="AM26" s="3575">
        <v>41056</v>
      </c>
      <c r="AN26" s="3575">
        <v>41056</v>
      </c>
      <c r="AO26" s="3575" t="s">
        <v>3250</v>
      </c>
      <c r="AP26" s="3575" t="s">
        <v>3250</v>
      </c>
      <c r="AQ26" s="3575">
        <v>0</v>
      </c>
      <c r="AR26" s="3575" t="s">
        <v>3372</v>
      </c>
      <c r="AS26" s="3575" t="s">
        <v>3249</v>
      </c>
      <c r="AT26" s="3575" t="s">
        <v>3250</v>
      </c>
      <c r="AU26" s="3575" t="s">
        <v>3249</v>
      </c>
      <c r="AV26" s="3575" t="s">
        <v>3250</v>
      </c>
      <c r="AW26" s="3579" t="s">
        <v>3250</v>
      </c>
      <c r="AX26" s="3575" t="s">
        <v>3250</v>
      </c>
    </row>
    <row r="27" spans="1:50" s="3575" customFormat="1">
      <c r="A27" s="3575" t="s">
        <v>3466</v>
      </c>
      <c r="B27" s="3575" t="s">
        <v>3172</v>
      </c>
      <c r="C27" s="3575" t="s">
        <v>3467</v>
      </c>
      <c r="D27" s="3575" t="s">
        <v>3240</v>
      </c>
      <c r="E27" s="3575" t="s">
        <v>3241</v>
      </c>
      <c r="F27" s="3575" t="s">
        <v>3468</v>
      </c>
      <c r="G27" s="3575" t="s">
        <v>3469</v>
      </c>
      <c r="H27" s="3575" t="s">
        <v>3263</v>
      </c>
      <c r="I27" s="3575">
        <v>31917.24</v>
      </c>
      <c r="J27" s="3575">
        <v>47876</v>
      </c>
      <c r="K27" s="3575" t="s">
        <v>3470</v>
      </c>
      <c r="L27" s="3575" t="s">
        <v>3246</v>
      </c>
      <c r="M27" s="3575" t="s">
        <v>3383</v>
      </c>
      <c r="N27" s="3575" t="s">
        <v>3437</v>
      </c>
      <c r="O27" s="3575" t="s">
        <v>3249</v>
      </c>
      <c r="P27" s="3575" t="s">
        <v>3384</v>
      </c>
      <c r="Q27" s="3575" t="s">
        <v>3471</v>
      </c>
      <c r="R27" s="3575" t="s">
        <v>3461</v>
      </c>
      <c r="S27" s="3575" t="s">
        <v>3408</v>
      </c>
      <c r="T27" s="3575" t="s">
        <v>3250</v>
      </c>
      <c r="U27" s="3575">
        <v>0</v>
      </c>
      <c r="V27" s="3575">
        <v>0</v>
      </c>
      <c r="W27" s="3575">
        <v>0</v>
      </c>
      <c r="X27" s="3575">
        <v>0</v>
      </c>
      <c r="Y27" s="2425">
        <v>43686.000497685185</v>
      </c>
      <c r="Z27" s="2425">
        <v>43706.000497685185</v>
      </c>
      <c r="AA27" s="2425">
        <v>43720.000497685185</v>
      </c>
      <c r="AB27" s="3575">
        <v>43720.000497685185</v>
      </c>
      <c r="AC27" s="3575" t="s">
        <v>3472</v>
      </c>
      <c r="AD27" s="3575" t="s">
        <v>3253</v>
      </c>
      <c r="AE27" s="3575" t="s">
        <v>3473</v>
      </c>
      <c r="AF27" s="3575" t="s">
        <v>3474</v>
      </c>
      <c r="AG27" s="3575">
        <v>238900</v>
      </c>
      <c r="AH27" s="3575">
        <v>48000</v>
      </c>
      <c r="AI27" s="3575" t="s">
        <v>3475</v>
      </c>
      <c r="AJ27" s="3575">
        <v>242500</v>
      </c>
      <c r="AK27" s="3575">
        <v>4989.99</v>
      </c>
      <c r="AL27" s="3575">
        <v>5065.18</v>
      </c>
      <c r="AM27" s="3575">
        <v>49900</v>
      </c>
      <c r="AN27" s="3575">
        <v>50652</v>
      </c>
      <c r="AO27" s="3575" t="s">
        <v>3250</v>
      </c>
      <c r="AP27" s="3575" t="s">
        <v>3250</v>
      </c>
      <c r="AQ27" s="3575">
        <v>1.51</v>
      </c>
      <c r="AR27" s="3575" t="s">
        <v>3476</v>
      </c>
      <c r="AS27" s="3575" t="s">
        <v>3249</v>
      </c>
      <c r="AT27" s="3575" t="s">
        <v>3250</v>
      </c>
      <c r="AU27" s="3575" t="s">
        <v>3249</v>
      </c>
      <c r="AV27" s="3575" t="s">
        <v>3250</v>
      </c>
      <c r="AW27" s="3579" t="s">
        <v>3250</v>
      </c>
      <c r="AX27" s="3575" t="s">
        <v>3250</v>
      </c>
    </row>
    <row r="28" spans="1:50">
      <c r="A28" s="3573" t="s">
        <v>3477</v>
      </c>
      <c r="B28" s="3573" t="s">
        <v>3172</v>
      </c>
      <c r="C28" s="3573" t="s">
        <v>3478</v>
      </c>
      <c r="D28" s="3573" t="s">
        <v>3240</v>
      </c>
      <c r="E28" s="3573" t="s">
        <v>3241</v>
      </c>
      <c r="F28" s="3573" t="s">
        <v>3302</v>
      </c>
      <c r="G28" s="3573" t="s">
        <v>3419</v>
      </c>
      <c r="H28" s="3573" t="s">
        <v>3263</v>
      </c>
      <c r="I28" s="3573">
        <v>31314.23</v>
      </c>
      <c r="J28" s="3573">
        <v>85543</v>
      </c>
      <c r="K28" s="3573" t="s">
        <v>3479</v>
      </c>
      <c r="L28" s="3573" t="s">
        <v>3246</v>
      </c>
      <c r="M28" s="3573" t="s">
        <v>3480</v>
      </c>
      <c r="N28" s="3573" t="s">
        <v>3437</v>
      </c>
      <c r="O28" s="3573" t="s">
        <v>3249</v>
      </c>
      <c r="P28" s="3573" t="s">
        <v>3481</v>
      </c>
      <c r="Q28" s="3573" t="s">
        <v>3482</v>
      </c>
      <c r="R28" s="3573" t="s">
        <v>3483</v>
      </c>
      <c r="S28" s="3573" t="s">
        <v>3483</v>
      </c>
      <c r="T28" s="3573" t="s">
        <v>3250</v>
      </c>
      <c r="U28" s="3573">
        <v>0</v>
      </c>
      <c r="V28" s="3573">
        <v>0</v>
      </c>
      <c r="W28" s="3573">
        <v>57360</v>
      </c>
      <c r="X28" s="3573">
        <v>57360</v>
      </c>
      <c r="Y28" s="2423">
        <v>43672.000497685185</v>
      </c>
      <c r="Z28" s="2423">
        <v>43692.000497685185</v>
      </c>
      <c r="AA28" s="2423">
        <v>43706.000497685185</v>
      </c>
      <c r="AB28" s="3573">
        <v>43706.000497685185</v>
      </c>
      <c r="AC28" s="3573" t="s">
        <v>3484</v>
      </c>
      <c r="AD28" s="3573" t="s">
        <v>3253</v>
      </c>
      <c r="AE28" s="3573" t="s">
        <v>3485</v>
      </c>
      <c r="AF28" s="3573" t="s">
        <v>3271</v>
      </c>
      <c r="AG28" s="3573">
        <v>189700</v>
      </c>
      <c r="AH28" s="3573">
        <v>38000</v>
      </c>
      <c r="AI28" s="3573" t="s">
        <v>3486</v>
      </c>
      <c r="AJ28" s="3573">
        <v>189700</v>
      </c>
      <c r="AK28" s="3573">
        <v>4038.63</v>
      </c>
      <c r="AL28" s="3573">
        <v>4038.63</v>
      </c>
      <c r="AM28" s="3573">
        <v>22176</v>
      </c>
      <c r="AN28" s="3573">
        <v>22176</v>
      </c>
      <c r="AO28" s="3573" t="s">
        <v>3250</v>
      </c>
      <c r="AP28" s="3573" t="s">
        <v>3250</v>
      </c>
      <c r="AQ28" s="3573">
        <v>0</v>
      </c>
      <c r="AR28" s="3573" t="s">
        <v>3372</v>
      </c>
      <c r="AS28" s="3573" t="s">
        <v>3249</v>
      </c>
      <c r="AT28" s="3573" t="s">
        <v>3250</v>
      </c>
      <c r="AU28" s="3573" t="s">
        <v>3249</v>
      </c>
      <c r="AV28" s="3573" t="s">
        <v>3250</v>
      </c>
      <c r="AW28" s="3577" t="s">
        <v>3250</v>
      </c>
      <c r="AX28" s="3573" t="s">
        <v>3250</v>
      </c>
    </row>
    <row r="29" spans="1:50">
      <c r="A29" s="3573" t="s">
        <v>3487</v>
      </c>
      <c r="B29" s="3573" t="s">
        <v>3172</v>
      </c>
      <c r="C29" s="3573" t="s">
        <v>3488</v>
      </c>
      <c r="D29" s="3573" t="s">
        <v>3240</v>
      </c>
      <c r="E29" s="3573" t="s">
        <v>3241</v>
      </c>
      <c r="F29" s="3573" t="s">
        <v>3468</v>
      </c>
      <c r="G29" s="3573" t="s">
        <v>3469</v>
      </c>
      <c r="H29" s="3573" t="s">
        <v>3244</v>
      </c>
      <c r="I29" s="3573">
        <v>39479.050000000003</v>
      </c>
      <c r="J29" s="3573">
        <v>43427</v>
      </c>
      <c r="K29" s="3573" t="s">
        <v>3489</v>
      </c>
      <c r="L29" s="3573" t="s">
        <v>3246</v>
      </c>
      <c r="M29" s="3573" t="s">
        <v>3247</v>
      </c>
      <c r="N29" s="3573" t="s">
        <v>3437</v>
      </c>
      <c r="O29" s="3573" t="s">
        <v>3249</v>
      </c>
      <c r="P29" s="3573" t="s">
        <v>3384</v>
      </c>
      <c r="Q29" s="3573" t="s">
        <v>3490</v>
      </c>
      <c r="R29" s="3573" t="s">
        <v>3461</v>
      </c>
      <c r="S29" s="3573" t="s">
        <v>3408</v>
      </c>
      <c r="T29" s="3573" t="s">
        <v>3250</v>
      </c>
      <c r="U29" s="3573">
        <v>0</v>
      </c>
      <c r="V29" s="3573">
        <v>0</v>
      </c>
      <c r="W29" s="3573">
        <v>0</v>
      </c>
      <c r="X29" s="3573">
        <v>0</v>
      </c>
      <c r="Y29" s="2423">
        <v>43579.000497685185</v>
      </c>
      <c r="Z29" s="2423">
        <v>43599.000497685185</v>
      </c>
      <c r="AA29" s="2423">
        <v>43613.000497685185</v>
      </c>
      <c r="AB29" s="3573">
        <v>43613.000497685185</v>
      </c>
      <c r="AC29" s="3573" t="s">
        <v>3491</v>
      </c>
      <c r="AD29" s="3573" t="s">
        <v>3253</v>
      </c>
      <c r="AE29" s="3573" t="s">
        <v>3492</v>
      </c>
      <c r="AF29" s="3573" t="s">
        <v>3493</v>
      </c>
      <c r="AG29" s="3573">
        <v>244900</v>
      </c>
      <c r="AH29" s="3573">
        <v>49000</v>
      </c>
      <c r="AI29" s="3573" t="s">
        <v>1058</v>
      </c>
      <c r="AJ29" s="3573">
        <v>302000</v>
      </c>
      <c r="AK29" s="3573">
        <v>4135.53</v>
      </c>
      <c r="AL29" s="3573">
        <v>5099.75</v>
      </c>
      <c r="AM29" s="3573">
        <v>56393</v>
      </c>
      <c r="AN29" s="3573">
        <v>69542</v>
      </c>
      <c r="AO29" s="3573" t="s">
        <v>3250</v>
      </c>
      <c r="AP29" s="3573" t="s">
        <v>3250</v>
      </c>
      <c r="AQ29" s="3573">
        <v>23.32</v>
      </c>
      <c r="AR29" s="3573" t="s">
        <v>3372</v>
      </c>
      <c r="AS29" s="3573" t="s">
        <v>3249</v>
      </c>
      <c r="AT29" s="3573" t="s">
        <v>3250</v>
      </c>
      <c r="AU29" s="3573" t="s">
        <v>3249</v>
      </c>
      <c r="AV29" s="3573" t="s">
        <v>3250</v>
      </c>
      <c r="AW29" s="3577" t="s">
        <v>3250</v>
      </c>
      <c r="AX29" s="3573" t="s">
        <v>3250</v>
      </c>
    </row>
    <row r="30" spans="1:50">
      <c r="A30" s="3573" t="s">
        <v>3494</v>
      </c>
      <c r="B30" s="3573" t="s">
        <v>3172</v>
      </c>
      <c r="C30" s="3573" t="s">
        <v>3495</v>
      </c>
      <c r="D30" s="3573" t="s">
        <v>3240</v>
      </c>
      <c r="E30" s="3573" t="s">
        <v>3241</v>
      </c>
      <c r="F30" s="3573" t="s">
        <v>3496</v>
      </c>
      <c r="G30" s="3573" t="s">
        <v>3497</v>
      </c>
      <c r="H30" s="3573" t="s">
        <v>3263</v>
      </c>
      <c r="I30" s="3573">
        <v>60678.01</v>
      </c>
      <c r="J30" s="3573">
        <v>160145</v>
      </c>
      <c r="K30" s="3573" t="s">
        <v>3498</v>
      </c>
      <c r="L30" s="3573" t="s">
        <v>3246</v>
      </c>
      <c r="M30" s="3573" t="s">
        <v>3499</v>
      </c>
      <c r="N30" s="3573" t="s">
        <v>3437</v>
      </c>
      <c r="O30" s="3573" t="s">
        <v>3249</v>
      </c>
      <c r="P30" s="3573" t="s">
        <v>3384</v>
      </c>
      <c r="Q30" s="3573" t="s">
        <v>3500</v>
      </c>
      <c r="R30" s="3573" t="s">
        <v>3501</v>
      </c>
      <c r="S30" s="3573" t="s">
        <v>3501</v>
      </c>
      <c r="T30" s="3573" t="s">
        <v>3250</v>
      </c>
      <c r="U30" s="3573">
        <v>0</v>
      </c>
      <c r="V30" s="3573">
        <v>0</v>
      </c>
      <c r="W30" s="3573">
        <v>124653.6</v>
      </c>
      <c r="X30" s="3573">
        <v>124653.6</v>
      </c>
      <c r="Y30" s="2423">
        <v>43463.000497685185</v>
      </c>
      <c r="Z30" s="2423">
        <v>43483.000497685185</v>
      </c>
      <c r="AA30" s="2423">
        <v>43497.000497685185</v>
      </c>
      <c r="AB30" s="3573">
        <v>43497.000497685185</v>
      </c>
      <c r="AC30" s="3573" t="s">
        <v>3502</v>
      </c>
      <c r="AD30" s="3573" t="s">
        <v>3253</v>
      </c>
      <c r="AE30" s="3573" t="s">
        <v>3503</v>
      </c>
      <c r="AF30" s="3573" t="s">
        <v>3504</v>
      </c>
      <c r="AG30" s="3573">
        <v>339100</v>
      </c>
      <c r="AH30" s="3573">
        <v>68000</v>
      </c>
      <c r="AI30" s="3573" t="s">
        <v>1058</v>
      </c>
      <c r="AJ30" s="3573">
        <v>340800</v>
      </c>
      <c r="AK30" s="3573">
        <v>3725.68</v>
      </c>
      <c r="AL30" s="3573">
        <v>3744.35</v>
      </c>
      <c r="AM30" s="3573">
        <v>21175</v>
      </c>
      <c r="AN30" s="3573">
        <v>21281</v>
      </c>
      <c r="AO30" s="3573" t="s">
        <v>3250</v>
      </c>
      <c r="AP30" s="3573" t="s">
        <v>3250</v>
      </c>
      <c r="AQ30" s="3573">
        <v>0.5</v>
      </c>
      <c r="AR30" s="3573" t="s">
        <v>3476</v>
      </c>
      <c r="AS30" s="3573" t="s">
        <v>3249</v>
      </c>
      <c r="AT30" s="3573" t="s">
        <v>3250</v>
      </c>
      <c r="AU30" s="3573" t="s">
        <v>3249</v>
      </c>
      <c r="AV30" s="3573" t="s">
        <v>3250</v>
      </c>
      <c r="AW30" s="3577" t="s">
        <v>3250</v>
      </c>
      <c r="AX30" s="3573" t="s">
        <v>3250</v>
      </c>
    </row>
    <row r="31" spans="1:50">
      <c r="A31" s="3573" t="s">
        <v>3505</v>
      </c>
      <c r="B31" s="3573" t="s">
        <v>3172</v>
      </c>
      <c r="C31" s="3573" t="s">
        <v>3506</v>
      </c>
      <c r="D31" s="3573" t="s">
        <v>3240</v>
      </c>
      <c r="E31" s="3573" t="s">
        <v>3241</v>
      </c>
      <c r="F31" s="3573" t="s">
        <v>3302</v>
      </c>
      <c r="G31" s="3573" t="s">
        <v>3419</v>
      </c>
      <c r="H31" s="3573" t="s">
        <v>3244</v>
      </c>
      <c r="I31" s="3573">
        <v>41541.339999999997</v>
      </c>
      <c r="J31" s="3573">
        <v>87237</v>
      </c>
      <c r="K31" s="3573">
        <v>2.1</v>
      </c>
      <c r="L31" s="3573" t="s">
        <v>3246</v>
      </c>
      <c r="M31" s="3573" t="s">
        <v>3247</v>
      </c>
      <c r="N31" s="3573" t="s">
        <v>3437</v>
      </c>
      <c r="O31" s="3573" t="s">
        <v>3249</v>
      </c>
      <c r="P31" s="3573" t="s">
        <v>3384</v>
      </c>
      <c r="Q31" s="3573" t="s">
        <v>3507</v>
      </c>
      <c r="R31" s="3573" t="s">
        <v>3483</v>
      </c>
      <c r="S31" s="3573" t="s">
        <v>3483</v>
      </c>
      <c r="T31" s="3573" t="s">
        <v>3250</v>
      </c>
      <c r="U31" s="3573">
        <v>0</v>
      </c>
      <c r="V31" s="3573">
        <v>0</v>
      </c>
      <c r="W31" s="3573">
        <v>87237</v>
      </c>
      <c r="X31" s="3573">
        <v>0</v>
      </c>
      <c r="Y31" s="2423">
        <v>43448.000497685185</v>
      </c>
      <c r="Z31" s="2423">
        <v>43468.000497685185</v>
      </c>
      <c r="AA31" s="2423">
        <v>43482.000497685185</v>
      </c>
      <c r="AB31" s="3573">
        <v>43482.000497685185</v>
      </c>
      <c r="AC31" s="3573" t="s">
        <v>3508</v>
      </c>
      <c r="AD31" s="3573" t="s">
        <v>3253</v>
      </c>
      <c r="AE31" s="3573" t="s">
        <v>3509</v>
      </c>
      <c r="AF31" s="3573" t="s">
        <v>3510</v>
      </c>
      <c r="AG31" s="3573">
        <v>150000</v>
      </c>
      <c r="AH31" s="3573">
        <v>30000</v>
      </c>
      <c r="AI31" s="3573" t="s">
        <v>1058</v>
      </c>
      <c r="AJ31" s="3573">
        <v>206000</v>
      </c>
      <c r="AK31" s="3573">
        <v>2407.2399999999998</v>
      </c>
      <c r="AL31" s="3573">
        <v>3305.94</v>
      </c>
      <c r="AM31" s="3573">
        <v>17195</v>
      </c>
      <c r="AN31" s="3573">
        <v>23614</v>
      </c>
      <c r="AO31" s="3573" t="s">
        <v>3250</v>
      </c>
      <c r="AP31" s="3573" t="s">
        <v>3250</v>
      </c>
      <c r="AQ31" s="3573">
        <v>37.33</v>
      </c>
      <c r="AR31" s="3573" t="s">
        <v>3372</v>
      </c>
      <c r="AS31" s="3573" t="s">
        <v>3249</v>
      </c>
      <c r="AT31" s="3573" t="s">
        <v>3250</v>
      </c>
      <c r="AU31" s="3573" t="s">
        <v>3249</v>
      </c>
      <c r="AV31" s="3573" t="s">
        <v>3250</v>
      </c>
      <c r="AW31" s="3577" t="s">
        <v>3250</v>
      </c>
      <c r="AX31" s="3573" t="s">
        <v>3250</v>
      </c>
    </row>
    <row r="34" spans="11:11">
      <c r="K34" s="3573">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0" zoomScaleNormal="70" zoomScaleSheetLayoutView="80" workbookViewId="0">
      <selection activeCell="A8" sqref="A8:XFD9"/>
    </sheetView>
  </sheetViews>
  <sheetFormatPr defaultColWidth="8.33203125" defaultRowHeight="13.2"/>
  <cols>
    <col min="1" max="1" width="10.33203125" style="2516" customWidth="1"/>
    <col min="2" max="2" width="29.21875" style="2523" customWidth="1"/>
    <col min="3" max="3" width="12.109375" style="2523" customWidth="1"/>
    <col min="4" max="5" width="11.21875" style="2519" customWidth="1"/>
    <col min="6" max="6" width="9.44140625" style="123" customWidth="1"/>
    <col min="7" max="7" width="31.88671875" style="123" customWidth="1"/>
    <col min="8" max="254" width="9" style="123" customWidth="1"/>
    <col min="255" max="16384" width="8.33203125" style="123"/>
  </cols>
  <sheetData>
    <row r="1" spans="1:9" s="72" customFormat="1" ht="21">
      <c r="A1" s="2475" t="s">
        <v>1907</v>
      </c>
      <c r="B1" s="2476"/>
      <c r="C1" s="2477"/>
      <c r="D1" s="2477"/>
      <c r="E1" s="2477"/>
      <c r="F1" s="70"/>
      <c r="G1" s="951">
        <f>MATCH(B1,'数据-取费表'!A6:A16,0)+5</f>
        <v>10</v>
      </c>
    </row>
    <row r="2" spans="1:9" s="72" customFormat="1" ht="18" customHeight="1">
      <c r="A2" s="2478" t="s">
        <v>1908</v>
      </c>
      <c r="B2" s="2479">
        <f ca="1">IF(D2="——",C52,C52-E2)</f>
        <v>523451</v>
      </c>
      <c r="C2" s="2480" t="s">
        <v>1909</v>
      </c>
      <c r="D2" s="2481" t="s">
        <v>70</v>
      </c>
      <c r="E2" s="2482" t="e">
        <f ca="1">SUMIF(INDIRECT("'"&amp;G2&amp;"'"&amp;"!A:A"),"承租人权益价值",INDIRECT("'"&amp;G2&amp;"'"&amp;"!c:c"))</f>
        <v>#REF!</v>
      </c>
      <c r="F2" s="1447" t="s">
        <v>1909</v>
      </c>
      <c r="G2" s="1448"/>
    </row>
    <row r="3" spans="1:9" s="72" customFormat="1" ht="18" customHeight="1" thickBot="1">
      <c r="A3" s="2483" t="s">
        <v>1910</v>
      </c>
      <c r="B3" s="2435">
        <f ca="1">ROUND(B2*10000/(IF(B1="",'数据-汇总表'!E3,INDIRECT("'数据-取费表'!k"&amp;$G$1))),0)</f>
        <v>42905</v>
      </c>
      <c r="C3" s="2480" t="s">
        <v>1911</v>
      </c>
      <c r="D3" s="2480"/>
      <c r="E3" s="2480"/>
      <c r="F3" s="71"/>
      <c r="G3" s="71"/>
    </row>
    <row r="4" spans="1:9" s="80" customFormat="1" ht="16.2">
      <c r="A4" s="2484" t="s">
        <v>1912</v>
      </c>
      <c r="B4" s="2485"/>
      <c r="C4" s="2485"/>
      <c r="D4" s="2485"/>
      <c r="E4" s="2485"/>
      <c r="F4" s="78"/>
      <c r="G4" s="79"/>
    </row>
    <row r="5" spans="1:9" s="86" customFormat="1" ht="13.5" customHeight="1">
      <c r="A5" s="2486" t="s">
        <v>1913</v>
      </c>
      <c r="B5" s="2487" t="s">
        <v>1914</v>
      </c>
      <c r="C5" s="2488">
        <f ca="1">C6+C7+C8</f>
        <v>410298</v>
      </c>
      <c r="D5" s="2488" t="s">
        <v>1915</v>
      </c>
      <c r="E5" s="2488" t="s">
        <v>1916</v>
      </c>
      <c r="F5" s="84" t="s">
        <v>1917</v>
      </c>
      <c r="G5" s="85"/>
    </row>
    <row r="6" spans="1:9" s="86" customFormat="1" ht="13.5" customHeight="1">
      <c r="A6" s="2489" t="s">
        <v>1918</v>
      </c>
      <c r="B6" s="2490" t="s">
        <v>1919</v>
      </c>
      <c r="C6" s="2491">
        <f>'土地比较法-住宅、综合'!F65</f>
        <v>396070</v>
      </c>
      <c r="D6" s="2492"/>
      <c r="E6" s="2492"/>
      <c r="F6" s="90"/>
      <c r="G6" s="91"/>
    </row>
    <row r="7" spans="1:9" s="86" customFormat="1" ht="13.5" customHeight="1">
      <c r="A7" s="2489" t="s">
        <v>1920</v>
      </c>
      <c r="B7" s="2490" t="s">
        <v>1921</v>
      </c>
      <c r="C7" s="2492">
        <f>ROUND(C6*F7,0)</f>
        <v>12080</v>
      </c>
      <c r="D7" s="2492"/>
      <c r="E7" s="2492"/>
      <c r="F7" s="93">
        <f>IF(项目基本情况!B8="出让",0,'数据-取费表'!B48+'数据-取费表'!B49)</f>
        <v>3.0499999999999999E-2</v>
      </c>
      <c r="G7" s="91"/>
    </row>
    <row r="8" spans="1:9" s="95" customFormat="1">
      <c r="A8" s="2489" t="s">
        <v>1922</v>
      </c>
      <c r="B8" s="2490" t="s">
        <v>1923</v>
      </c>
      <c r="C8" s="2492">
        <f ca="1">IF(G8="已包含在土地购买价格中","0",IF(B1="",'数据-取费表'!B29,IF(G9="全部缴纳",C9+C10,H9)))</f>
        <v>2148</v>
      </c>
      <c r="D8" s="2493"/>
      <c r="E8" s="2492"/>
      <c r="F8" s="93"/>
      <c r="G8" s="1449" t="s">
        <v>3571</v>
      </c>
    </row>
    <row r="9" spans="1:9" s="86" customFormat="1" ht="13.5" customHeight="1">
      <c r="A9" s="2494" t="s">
        <v>619</v>
      </c>
      <c r="B9" s="2495" t="s">
        <v>1924</v>
      </c>
      <c r="C9" s="2496">
        <f ca="1">ROUND(D9*E9/10000,0)</f>
        <v>1171</v>
      </c>
      <c r="D9" s="2497">
        <f ca="1">IF(B1="",'数据-汇总表'!E5,IF(INDIRECT("'数据-取费表'!c"&amp;$G$1)="住宅",INDIRECT("'数据-取费表'!k"&amp;$G$1),0))</f>
        <v>73162.550000000017</v>
      </c>
      <c r="E9" s="2496">
        <f>'数据-取费表'!B27</f>
        <v>160</v>
      </c>
      <c r="F9" s="93"/>
      <c r="G9" s="1450" t="s">
        <v>3572</v>
      </c>
      <c r="H9" s="962"/>
      <c r="I9" s="1451" t="s">
        <v>1925</v>
      </c>
    </row>
    <row r="10" spans="1:9" s="86" customFormat="1" ht="13.5" customHeight="1">
      <c r="A10" s="2494" t="s">
        <v>620</v>
      </c>
      <c r="B10" s="2495" t="s">
        <v>1926</v>
      </c>
      <c r="C10" s="2496">
        <f ca="1">ROUND(D10*E10/10000,0)</f>
        <v>977</v>
      </c>
      <c r="D10" s="2497">
        <f ca="1">IF(B1="",'数据-汇总表'!E6,IF(INDIRECT("'数据-取费表'!c"&amp;$G$1)="住宅",INDIRECT("'数据-取费表'!s"&amp;$G$1),INDIRECT("'数据-取费表'!k"&amp;$G$1)+INDIRECT("'数据-取费表'!s"&amp;$G$1)))</f>
        <v>48840.219999999987</v>
      </c>
      <c r="E10" s="2496">
        <f>'数据-取费表'!B28</f>
        <v>200</v>
      </c>
      <c r="F10" s="93"/>
      <c r="G10" s="98"/>
    </row>
    <row r="11" spans="1:9" s="86" customFormat="1" ht="13.5" hidden="1" customHeight="1">
      <c r="A11" s="2498" t="s">
        <v>7</v>
      </c>
      <c r="B11" s="2490" t="s">
        <v>1927</v>
      </c>
      <c r="C11" s="2488"/>
      <c r="D11" s="2492"/>
      <c r="E11" s="2492"/>
      <c r="F11" s="90"/>
      <c r="G11" s="91"/>
    </row>
    <row r="12" spans="1:9" s="86" customFormat="1" ht="13.5" hidden="1" customHeight="1">
      <c r="A12" s="2498" t="s">
        <v>8</v>
      </c>
      <c r="B12" s="2490" t="s">
        <v>1928</v>
      </c>
      <c r="C12" s="2488">
        <v>0</v>
      </c>
      <c r="D12" s="2492"/>
      <c r="E12" s="2499"/>
      <c r="F12" s="93">
        <v>3.0499999999999999E-2</v>
      </c>
      <c r="G12" s="91"/>
    </row>
    <row r="13" spans="1:9" s="86" customFormat="1" ht="13.5" hidden="1" customHeight="1">
      <c r="A13" s="2498" t="s">
        <v>9</v>
      </c>
      <c r="B13" s="2490" t="s">
        <v>1929</v>
      </c>
      <c r="C13" s="2488"/>
      <c r="D13" s="2492"/>
      <c r="E13" s="2492"/>
      <c r="F13" s="90"/>
      <c r="G13" s="91"/>
    </row>
    <row r="14" spans="1:9" s="86" customFormat="1" ht="13.5" hidden="1" customHeight="1">
      <c r="A14" s="2498" t="s">
        <v>10</v>
      </c>
      <c r="B14" s="2490" t="s">
        <v>1930</v>
      </c>
      <c r="C14" s="2488"/>
      <c r="D14" s="2492"/>
      <c r="E14" s="2492"/>
      <c r="F14" s="90"/>
      <c r="G14" s="91" t="s">
        <v>1931</v>
      </c>
    </row>
    <row r="15" spans="1:9" s="86" customFormat="1" ht="13.5" hidden="1" customHeight="1">
      <c r="A15" s="2498" t="s">
        <v>11</v>
      </c>
      <c r="B15" s="2490" t="s">
        <v>1932</v>
      </c>
      <c r="C15" s="2492"/>
      <c r="D15" s="2492"/>
      <c r="E15" s="2492"/>
      <c r="F15" s="90"/>
      <c r="G15" s="91" t="s">
        <v>1933</v>
      </c>
    </row>
    <row r="16" spans="1:9" s="86" customFormat="1" ht="13.5" hidden="1" customHeight="1">
      <c r="A16" s="2498" t="s">
        <v>12</v>
      </c>
      <c r="B16" s="2490" t="s">
        <v>1930</v>
      </c>
      <c r="C16" s="2492"/>
      <c r="D16" s="2492"/>
      <c r="E16" s="2492"/>
      <c r="F16" s="90"/>
      <c r="G16" s="91"/>
    </row>
    <row r="17" spans="1:9" s="86" customFormat="1" ht="13.5" hidden="1" customHeight="1">
      <c r="A17" s="2498" t="s">
        <v>13</v>
      </c>
      <c r="B17" s="2490" t="s">
        <v>1934</v>
      </c>
      <c r="C17" s="2500"/>
      <c r="D17" s="2500"/>
      <c r="E17" s="2500"/>
      <c r="F17" s="101"/>
      <c r="G17" s="91" t="s">
        <v>1933</v>
      </c>
    </row>
    <row r="18" spans="1:9" s="86" customFormat="1" ht="13.5" hidden="1" customHeight="1">
      <c r="A18" s="2498" t="s">
        <v>14</v>
      </c>
      <c r="B18" s="2490" t="s">
        <v>1935</v>
      </c>
      <c r="C18" s="2492">
        <v>0</v>
      </c>
      <c r="D18" s="2492"/>
      <c r="E18" s="2492"/>
      <c r="F18" s="93">
        <v>3.0499999999999999E-2</v>
      </c>
      <c r="G18" s="91" t="s">
        <v>1936</v>
      </c>
    </row>
    <row r="19" spans="1:9" s="95" customFormat="1" ht="13.5" customHeight="1">
      <c r="A19" s="2486" t="s">
        <v>1937</v>
      </c>
      <c r="B19" s="2487" t="s">
        <v>1938</v>
      </c>
      <c r="C19" s="2488" t="str">
        <f>IF(G19="已包含在土地取得成本中","0",ROUND(D19*E19/10000,0))</f>
        <v>0</v>
      </c>
      <c r="D19" s="2488">
        <f ca="1">D9+D10</f>
        <v>122002.77</v>
      </c>
      <c r="E19" s="2488">
        <f>'数据-取费表'!B31</f>
        <v>200</v>
      </c>
      <c r="F19" s="103"/>
      <c r="G19" s="1449" t="s">
        <v>3584</v>
      </c>
    </row>
    <row r="20" spans="1:9" s="86" customFormat="1" ht="13.5" customHeight="1">
      <c r="A20" s="2486" t="s">
        <v>1939</v>
      </c>
      <c r="B20" s="2487" t="s">
        <v>1940</v>
      </c>
      <c r="C20" s="2501">
        <f ca="1">ROUND((C5+C19)*F20,0)</f>
        <v>8206</v>
      </c>
      <c r="D20" s="2501"/>
      <c r="E20" s="2501"/>
      <c r="F20" s="105">
        <f>'数据-取费表'!B37</f>
        <v>0.02</v>
      </c>
      <c r="G20" s="106" t="s">
        <v>1941</v>
      </c>
    </row>
    <row r="21" spans="1:9" s="86" customFormat="1" ht="13.5" customHeight="1">
      <c r="A21" s="2486" t="s">
        <v>1942</v>
      </c>
      <c r="B21" s="2487" t="s">
        <v>1943</v>
      </c>
      <c r="C21" s="2502">
        <f>F21</f>
        <v>0.02</v>
      </c>
      <c r="D21" s="2503" t="s">
        <v>1944</v>
      </c>
      <c r="E21" s="2501"/>
      <c r="F21" s="105">
        <f>'数据-取费表'!B38</f>
        <v>0.02</v>
      </c>
      <c r="G21" s="106" t="s">
        <v>1945</v>
      </c>
    </row>
    <row r="22" spans="1:9" s="86" customFormat="1" ht="13.5" customHeight="1">
      <c r="A22" s="2486" t="s">
        <v>1946</v>
      </c>
      <c r="B22" s="2487" t="s">
        <v>1947</v>
      </c>
      <c r="C22" s="2501">
        <f ca="1">ROUND(SUM(C23:C25),0)</f>
        <v>16338</v>
      </c>
      <c r="D22" s="2502">
        <f ca="1">C26</f>
        <v>4.0000000000000002E-4</v>
      </c>
      <c r="E22" s="2503" t="s">
        <v>1944</v>
      </c>
      <c r="F22" s="109">
        <f ca="1">'数据-取费表'!B40</f>
        <v>4.2000000000000003E-2</v>
      </c>
      <c r="G22" s="106" t="str">
        <f>IF('数据-取费表'!B22&lt;=1,"单利计息","复利计息")</f>
        <v>复利计息</v>
      </c>
    </row>
    <row r="23" spans="1:9" s="86" customFormat="1" ht="13.5" customHeight="1">
      <c r="A23" s="2504" t="s">
        <v>1948</v>
      </c>
      <c r="B23" s="2490" t="s">
        <v>1949</v>
      </c>
      <c r="C23" s="2505">
        <f ca="1">ROUND(IF('数据-取费表'!B22&lt;=1,C5*F22*'数据-取费表'!B23,C5*(POWER((1+F22),'数据-取费表'!B23)-1)),0)</f>
        <v>16178</v>
      </c>
      <c r="D23" s="2505"/>
      <c r="E23" s="2505"/>
      <c r="F23" s="111"/>
      <c r="G23" s="112" t="s">
        <v>1950</v>
      </c>
    </row>
    <row r="24" spans="1:9" s="86" customFormat="1" ht="13.5" customHeight="1">
      <c r="A24" s="2504" t="s">
        <v>1951</v>
      </c>
      <c r="B24" s="2490" t="s">
        <v>1952</v>
      </c>
      <c r="C24" s="2505">
        <f ca="1">ROUND(IF('数据-取费表'!B22&lt;=1,C19*F22*('数据-取费表'!B19/2+'数据-取费表'!B21),C19*(POWER((1+F22),('数据-取费表'!B19/2+'数据-取费表'!B21))-1)),0)</f>
        <v>0</v>
      </c>
      <c r="D24" s="2505"/>
      <c r="E24" s="2505"/>
      <c r="F24" s="111"/>
      <c r="G24" s="112" t="s">
        <v>1953</v>
      </c>
    </row>
    <row r="25" spans="1:9" s="86" customFormat="1" ht="24">
      <c r="A25" s="2504" t="s">
        <v>1954</v>
      </c>
      <c r="B25" s="2490" t="s">
        <v>1955</v>
      </c>
      <c r="C25" s="2505">
        <f ca="1">ROUND(IF('数据-取费表'!B22&lt;=1,C20*F22*'数据-取费表'!B23/2,C20*(POWER((1+F22),'数据-取费表'!B23/2)-1)),0)</f>
        <v>160</v>
      </c>
      <c r="D25" s="2505"/>
      <c r="E25" s="2506"/>
      <c r="F25" s="111"/>
      <c r="G25" s="114" t="s">
        <v>1956</v>
      </c>
    </row>
    <row r="26" spans="1:9" s="86" customFormat="1">
      <c r="A26" s="2504" t="s">
        <v>614</v>
      </c>
      <c r="B26" s="2490" t="s">
        <v>1957</v>
      </c>
      <c r="C26" s="2505">
        <f ca="1">ROUND(IF('数据-取费表'!B22&lt;=1,F21*F22*'数据-取费表'!B23/2,F21*(POWER((1+F22),'数据-取费表'!B23/2)-1)),4)</f>
        <v>4.0000000000000002E-4</v>
      </c>
      <c r="D26" s="2505"/>
      <c r="E26" s="2506"/>
      <c r="F26" s="111"/>
      <c r="G26" s="115"/>
    </row>
    <row r="27" spans="1:9" s="86" customFormat="1" ht="26.4">
      <c r="A27" s="2486" t="s">
        <v>1958</v>
      </c>
      <c r="B27" s="2507" t="s">
        <v>1959</v>
      </c>
      <c r="C27" s="2508">
        <f ca="1">C28</f>
        <v>21637</v>
      </c>
      <c r="D27" s="2502">
        <f ca="1">C29</f>
        <v>1E-3</v>
      </c>
      <c r="E27" s="2503" t="s">
        <v>1960</v>
      </c>
      <c r="F27" s="118">
        <f ca="1">IF(B1="",'数据-取费表'!Q16,INDIRECT("'数据-取费表'!q"&amp;$G$1))</f>
        <v>0.11</v>
      </c>
      <c r="G27" s="119" t="s">
        <v>1961</v>
      </c>
    </row>
    <row r="28" spans="1:9" s="86" customFormat="1" ht="13.5" customHeight="1">
      <c r="A28" s="2504" t="s">
        <v>610</v>
      </c>
      <c r="B28" s="2509" t="s">
        <v>1962</v>
      </c>
      <c r="C28" s="2510">
        <f ca="1">ROUND((C5+C19+C20)*F27*'数据-取费表'!B21/'数据-取费表'!B20,0)</f>
        <v>21637</v>
      </c>
      <c r="D28" s="2502"/>
      <c r="E28" s="2503"/>
      <c r="F28" s="118"/>
      <c r="G28" s="119"/>
    </row>
    <row r="29" spans="1:9" s="86" customFormat="1" ht="13.5" customHeight="1">
      <c r="A29" s="2504" t="s">
        <v>611</v>
      </c>
      <c r="B29" s="2509" t="s">
        <v>1963</v>
      </c>
      <c r="C29" s="2505">
        <f ca="1">ROUND(C21*F27*'数据-取费表'!B21/'数据-取费表'!B20,4)</f>
        <v>1E-3</v>
      </c>
      <c r="D29" s="2502"/>
      <c r="E29" s="2503"/>
      <c r="F29" s="118"/>
      <c r="G29" s="119"/>
    </row>
    <row r="30" spans="1:9" s="86" customFormat="1" ht="13.5" customHeight="1">
      <c r="A30" s="2486" t="s">
        <v>1964</v>
      </c>
      <c r="B30" s="2487" t="s">
        <v>1965</v>
      </c>
      <c r="C30" s="2502">
        <f>ROUND(F30/(1+'数据-取费表'!C42),4)</f>
        <v>5.33E-2</v>
      </c>
      <c r="D30" s="2503" t="s">
        <v>1960</v>
      </c>
      <c r="E30" s="2506"/>
      <c r="F30" s="109">
        <f>'数据-取费表'!B41</f>
        <v>5.6000000000000001E-2</v>
      </c>
      <c r="G30" s="106" t="s">
        <v>1966</v>
      </c>
    </row>
    <row r="31" spans="1:9" ht="16.5" customHeight="1">
      <c r="A31" s="2486">
        <v>1</v>
      </c>
      <c r="B31" s="2487" t="s">
        <v>1967</v>
      </c>
      <c r="C31" s="2488">
        <f ca="1">ROUND((C5+C19+C20+C22+C27)/(1-C21-D22-D27-C30),0)</f>
        <v>493331</v>
      </c>
      <c r="D31" s="2488"/>
      <c r="E31" s="2488"/>
      <c r="F31" s="122"/>
      <c r="G31" s="106" t="s">
        <v>1968</v>
      </c>
      <c r="I31" s="2523">
        <f ca="1">C31-C6</f>
        <v>97261</v>
      </c>
    </row>
    <row r="32" spans="1:9" s="80" customFormat="1" ht="16.2">
      <c r="A32" s="2511" t="s">
        <v>1969</v>
      </c>
      <c r="B32" s="2512"/>
      <c r="C32" s="2512"/>
      <c r="D32" s="2512"/>
      <c r="E32" s="2512"/>
      <c r="F32" s="125"/>
      <c r="G32" s="126"/>
    </row>
    <row r="33" spans="1:7" s="86" customFormat="1" ht="13.5" customHeight="1">
      <c r="A33" s="2486" t="s">
        <v>601</v>
      </c>
      <c r="B33" s="2487" t="s">
        <v>1970</v>
      </c>
      <c r="C33" s="2501">
        <f ca="1">SUM(C34:C38)</f>
        <v>24159</v>
      </c>
      <c r="D33" s="2501"/>
      <c r="E33" s="2488"/>
      <c r="F33" s="113"/>
      <c r="G33" s="106"/>
    </row>
    <row r="34" spans="1:7" s="130" customFormat="1" ht="13.5" customHeight="1">
      <c r="A34" s="2504" t="s">
        <v>610</v>
      </c>
      <c r="B34" s="2490" t="s">
        <v>1971</v>
      </c>
      <c r="C34" s="2492">
        <f ca="1">IF(B1="",IF(F34=100%,'数据-取费表'!M16,'数据-取费表'!O16),IF(F34=100%,INDIRECT("'数据-取费表'!m"&amp;$G$1)+INDIRECT("'数据-取费表'!t"&amp;$G$1),INDIRECT("'数据-取费表'!o"&amp;$G$1)+INDIRECT("'数据-取费表'!aq"&amp;$G$1)))</f>
        <v>21617</v>
      </c>
      <c r="D34" s="2492"/>
      <c r="E34" s="2492"/>
      <c r="F34" s="129">
        <f ca="1">IF('数据-取费表'!B24=0,1,IF(B1="",'数据-取费表'!N16,INDIRECT("'数据-取费表'!n"&amp;$G$1)))</f>
        <v>0.47</v>
      </c>
      <c r="G34" s="91" t="s">
        <v>1972</v>
      </c>
    </row>
    <row r="35" spans="1:7" ht="13.5" customHeight="1">
      <c r="A35" s="2504" t="s">
        <v>615</v>
      </c>
      <c r="B35" s="2490" t="s">
        <v>1973</v>
      </c>
      <c r="C35" s="2492">
        <f ca="1">ROUND(C34*F35,0)</f>
        <v>649</v>
      </c>
      <c r="D35" s="2492"/>
      <c r="E35" s="2492"/>
      <c r="F35" s="131">
        <f>'数据-取费表'!B33</f>
        <v>0.03</v>
      </c>
      <c r="G35" s="91" t="s">
        <v>1974</v>
      </c>
    </row>
    <row r="36" spans="1:7" ht="24">
      <c r="A36" s="2504" t="s">
        <v>616</v>
      </c>
      <c r="B36" s="2490" t="s">
        <v>1975</v>
      </c>
      <c r="C36" s="2492">
        <f ca="1">ROUND(IF(B1="",SUMIF('数据-取费表'!C:C,"住宅",IF(F34=100%,'数据-取费表'!M:M,'数据-取费表'!O:O))*F36,IF(INDIRECT("'数据-取费表'!c"&amp;$G$1)="住宅",IF(F34=100%,INDIRECT("'数据-取费表'!m"&amp;$G$1)*F36,INDIRECT("'数据-取费表'!o"&amp;$G$1)*F36),0)),0)</f>
        <v>422</v>
      </c>
      <c r="D36" s="2492"/>
      <c r="E36" s="2492"/>
      <c r="F36" s="131">
        <f>'数据-取费表'!B34</f>
        <v>0.03</v>
      </c>
      <c r="G36" s="132" t="s">
        <v>1976</v>
      </c>
    </row>
    <row r="37" spans="1:7" s="130" customFormat="1" ht="13.5" customHeight="1">
      <c r="A37" s="2504" t="s">
        <v>617</v>
      </c>
      <c r="B37" s="2490" t="s">
        <v>1977</v>
      </c>
      <c r="C37" s="2510">
        <f ca="1">ROUND(E37*D37*F34/10000,0)</f>
        <v>1147</v>
      </c>
      <c r="D37" s="2492">
        <f ca="1">D19</f>
        <v>122002.77</v>
      </c>
      <c r="E37" s="2510">
        <f>'数据-取费表'!B35</f>
        <v>200</v>
      </c>
      <c r="F37" s="131"/>
      <c r="G37" s="133" t="s">
        <v>1978</v>
      </c>
    </row>
    <row r="38" spans="1:7" ht="13.5" customHeight="1">
      <c r="A38" s="2504" t="s">
        <v>618</v>
      </c>
      <c r="B38" s="2490" t="s">
        <v>1979</v>
      </c>
      <c r="C38" s="2492">
        <f ca="1">ROUND(C34*F38,0)</f>
        <v>324</v>
      </c>
      <c r="D38" s="2492"/>
      <c r="E38" s="2492"/>
      <c r="F38" s="131">
        <f>'数据-取费表'!B36</f>
        <v>1.4999999999999999E-2</v>
      </c>
      <c r="G38" s="91" t="s">
        <v>1974</v>
      </c>
    </row>
    <row r="39" spans="1:7" s="86" customFormat="1" ht="13.5" customHeight="1">
      <c r="A39" s="2486" t="s">
        <v>1980</v>
      </c>
      <c r="B39" s="2487" t="s">
        <v>1981</v>
      </c>
      <c r="C39" s="2501">
        <f ca="1">ROUND(C33*F20,0)</f>
        <v>483</v>
      </c>
      <c r="D39" s="2501"/>
      <c r="E39" s="2501"/>
      <c r="F39" s="1836">
        <f>F20</f>
        <v>0.02</v>
      </c>
      <c r="G39" s="106" t="s">
        <v>1982</v>
      </c>
    </row>
    <row r="40" spans="1:7" s="86" customFormat="1" ht="13.5" customHeight="1">
      <c r="A40" s="2486" t="s">
        <v>1983</v>
      </c>
      <c r="B40" s="2487" t="s">
        <v>1984</v>
      </c>
      <c r="C40" s="2502">
        <f>F21</f>
        <v>0.02</v>
      </c>
      <c r="D40" s="2503" t="s">
        <v>1985</v>
      </c>
      <c r="E40" s="2501"/>
      <c r="F40" s="1836">
        <f>F21</f>
        <v>0.02</v>
      </c>
      <c r="G40" s="106" t="s">
        <v>1986</v>
      </c>
    </row>
    <row r="41" spans="1:7" s="86" customFormat="1" ht="13.5" customHeight="1">
      <c r="A41" s="2486" t="s">
        <v>1987</v>
      </c>
      <c r="B41" s="2487" t="s">
        <v>1988</v>
      </c>
      <c r="C41" s="2501">
        <f ca="1">ROUND(SUM(C42:C43),0)</f>
        <v>481</v>
      </c>
      <c r="D41" s="2502">
        <f ca="1">C44</f>
        <v>4.0000000000000002E-4</v>
      </c>
      <c r="E41" s="2503" t="s">
        <v>1985</v>
      </c>
      <c r="F41" s="1837">
        <f ca="1">F22</f>
        <v>4.2000000000000003E-2</v>
      </c>
      <c r="G41" s="106" t="str">
        <f>IF('数据-取费表'!B22&lt;=1,"单利计息","复利计息")</f>
        <v>复利计息</v>
      </c>
    </row>
    <row r="42" spans="1:7" ht="13.5" customHeight="1">
      <c r="A42" s="2504" t="s">
        <v>610</v>
      </c>
      <c r="B42" s="2490" t="s">
        <v>1989</v>
      </c>
      <c r="C42" s="2505">
        <f ca="1">ROUND(IF('数据-取费表'!B22&lt;=1,C33*F22*'数据-取费表'!B21/2,C33*(POWER((1+F22),'数据-取费表'!B21/2)-1)),0)</f>
        <v>472</v>
      </c>
      <c r="D42" s="2505"/>
      <c r="E42" s="2505"/>
      <c r="F42" s="111"/>
      <c r="G42" s="3846" t="s">
        <v>1990</v>
      </c>
    </row>
    <row r="43" spans="1:7" ht="13.5" customHeight="1">
      <c r="A43" s="2504" t="s">
        <v>611</v>
      </c>
      <c r="B43" s="2490" t="s">
        <v>1991</v>
      </c>
      <c r="C43" s="2505">
        <f ca="1">ROUND(IF('数据-取费表'!B22&lt;=1,C39*F22*'数据-取费表'!B21/2,C39*(POWER((1+F22),'数据-取费表'!B21/2)-1)),0)</f>
        <v>9</v>
      </c>
      <c r="D43" s="2505"/>
      <c r="E43" s="2505"/>
      <c r="F43" s="111"/>
      <c r="G43" s="3847"/>
    </row>
    <row r="44" spans="1:7" ht="13.5" customHeight="1">
      <c r="A44" s="2504" t="s">
        <v>612</v>
      </c>
      <c r="B44" s="2490" t="s">
        <v>1992</v>
      </c>
      <c r="C44" s="2505">
        <f ca="1">ROUND(IF('数据-取费表'!B22&lt;=1,C40*F22*'数据-取费表'!B21/2,C40*(POWER((1+F22),'数据-取费表'!B21/2)-1)),4)</f>
        <v>4.0000000000000002E-4</v>
      </c>
      <c r="D44" s="2505"/>
      <c r="E44" s="2505"/>
      <c r="F44" s="111"/>
      <c r="G44" s="3848"/>
    </row>
    <row r="45" spans="1:7" s="86" customFormat="1" ht="13.5" customHeight="1">
      <c r="A45" s="2486" t="s">
        <v>1993</v>
      </c>
      <c r="B45" s="2507" t="s">
        <v>1959</v>
      </c>
      <c r="C45" s="2508">
        <f ca="1">C46</f>
        <v>2711</v>
      </c>
      <c r="D45" s="2502">
        <f ca="1">C47</f>
        <v>2.2000000000000001E-3</v>
      </c>
      <c r="E45" s="2503" t="s">
        <v>1985</v>
      </c>
      <c r="F45" s="1838">
        <f ca="1">F27</f>
        <v>0.11</v>
      </c>
      <c r="G45" s="119" t="s">
        <v>1994</v>
      </c>
    </row>
    <row r="46" spans="1:7" s="86" customFormat="1" ht="13.5" customHeight="1">
      <c r="A46" s="2504" t="s">
        <v>610</v>
      </c>
      <c r="B46" s="2509" t="s">
        <v>1995</v>
      </c>
      <c r="C46" s="2510">
        <f ca="1">ROUND((C33+C39)*F27,0)</f>
        <v>2711</v>
      </c>
      <c r="D46" s="2502"/>
      <c r="E46" s="2503"/>
      <c r="F46" s="118"/>
      <c r="G46" s="119"/>
    </row>
    <row r="47" spans="1:7" s="86" customFormat="1" ht="13.5" customHeight="1">
      <c r="A47" s="2504" t="s">
        <v>611</v>
      </c>
      <c r="B47" s="2509" t="s">
        <v>1996</v>
      </c>
      <c r="C47" s="2505">
        <f ca="1">ROUND(C40*F27,4)</f>
        <v>2.2000000000000001E-3</v>
      </c>
      <c r="D47" s="2502"/>
      <c r="E47" s="2503"/>
      <c r="F47" s="118"/>
      <c r="G47" s="119"/>
    </row>
    <row r="48" spans="1:7" s="86" customFormat="1" ht="13.5" customHeight="1">
      <c r="A48" s="2486" t="s">
        <v>1958</v>
      </c>
      <c r="B48" s="2487" t="s">
        <v>1997</v>
      </c>
      <c r="C48" s="2502">
        <f>ROUND(F30/(1+'数据-取费表'!C42),4)</f>
        <v>5.33E-2</v>
      </c>
      <c r="D48" s="2503" t="s">
        <v>1985</v>
      </c>
      <c r="E48" s="2501"/>
      <c r="F48" s="1837">
        <f>F30</f>
        <v>5.6000000000000001E-2</v>
      </c>
      <c r="G48" s="106" t="s">
        <v>1998</v>
      </c>
    </row>
    <row r="49" spans="1:7" ht="16.5" customHeight="1">
      <c r="A49" s="2486" t="s">
        <v>1964</v>
      </c>
      <c r="B49" s="2487" t="s">
        <v>1999</v>
      </c>
      <c r="C49" s="2501">
        <f ca="1">ROUND((C33+C39+C41+C45)/(1-C40-D41-D45-C48),0)</f>
        <v>30120</v>
      </c>
      <c r="D49" s="2501"/>
      <c r="E49" s="2501"/>
      <c r="F49" s="136"/>
      <c r="G49" s="106" t="s">
        <v>2000</v>
      </c>
    </row>
    <row r="50" spans="1:7" s="130" customFormat="1" ht="24">
      <c r="A50" s="2486" t="s">
        <v>2001</v>
      </c>
      <c r="B50" s="2487" t="s">
        <v>2002</v>
      </c>
      <c r="C50" s="2501"/>
      <c r="D50" s="2501"/>
      <c r="E50" s="2501"/>
      <c r="F50" s="136">
        <f>IF('数据-取费表'!B24=0,'数据-取费表'!N16,1)</f>
        <v>1</v>
      </c>
      <c r="G50" s="119" t="s">
        <v>2003</v>
      </c>
    </row>
    <row r="51" spans="1:7" ht="16.5" customHeight="1">
      <c r="A51" s="2486" t="s">
        <v>2004</v>
      </c>
      <c r="B51" s="2487" t="s">
        <v>2005</v>
      </c>
      <c r="C51" s="2501">
        <f ca="1">ROUND(C49*F50,0)</f>
        <v>30120</v>
      </c>
      <c r="D51" s="2501"/>
      <c r="E51" s="2501"/>
      <c r="F51" s="136"/>
      <c r="G51" s="106" t="s">
        <v>2006</v>
      </c>
    </row>
    <row r="52" spans="1:7" s="80" customFormat="1" ht="16.8" thickBot="1">
      <c r="A52" s="2513" t="s">
        <v>2007</v>
      </c>
      <c r="B52" s="2514"/>
      <c r="C52" s="2515">
        <f ca="1">C31+C51</f>
        <v>523451</v>
      </c>
      <c r="D52" s="2514"/>
      <c r="E52" s="2514"/>
      <c r="F52" s="138"/>
      <c r="G52" s="140"/>
    </row>
    <row r="55" spans="1:7" ht="15">
      <c r="B55" s="2517" t="s">
        <v>2008</v>
      </c>
      <c r="C55" s="2518"/>
    </row>
    <row r="56" spans="1:7">
      <c r="B56" s="2520" t="s">
        <v>1237</v>
      </c>
      <c r="C56" s="2521">
        <f ca="1">1-C57</f>
        <v>0.94199999999999995</v>
      </c>
    </row>
    <row r="57" spans="1:7">
      <c r="B57" s="2520" t="s">
        <v>1238</v>
      </c>
      <c r="C57" s="2522">
        <f ca="1">ROUND(C51/C52,3)</f>
        <v>5.8000000000000003E-2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1907</v>
      </c>
      <c r="B1" s="1275"/>
      <c r="C1" s="1452" t="s">
        <v>2009</v>
      </c>
      <c r="D1" s="70"/>
      <c r="E1" s="70"/>
      <c r="F1" s="70"/>
      <c r="G1" s="951">
        <f>MATCH(B1,'数据-取费表'!A6:A16,0)+5</f>
        <v>10</v>
      </c>
      <c r="H1" s="887" t="str">
        <f>IF(ISERROR(FIND("住宅",B1)),"非住宅","住宅")</f>
        <v>非住宅</v>
      </c>
    </row>
    <row r="2" spans="1:8" s="72" customFormat="1" ht="18" customHeight="1">
      <c r="A2" s="73" t="s">
        <v>1908</v>
      </c>
      <c r="B2" s="74">
        <f ca="1">ROUND(IF(D2="——",C52/10000,C52/10000-E2),0)</f>
        <v>71438</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5855</v>
      </c>
      <c r="C3" s="71" t="s">
        <v>1911</v>
      </c>
      <c r="D3" s="71"/>
      <c r="E3" s="71"/>
      <c r="F3" s="71"/>
      <c r="G3" s="71"/>
    </row>
    <row r="4" spans="1:8" s="80" customFormat="1" ht="16.2">
      <c r="A4" s="77" t="s">
        <v>1912</v>
      </c>
      <c r="B4" s="78"/>
      <c r="C4" s="78"/>
      <c r="D4" s="78"/>
      <c r="E4" s="78"/>
      <c r="F4" s="78"/>
      <c r="G4" s="79"/>
    </row>
    <row r="5" spans="1:8" s="86" customFormat="1" ht="13.5" customHeight="1">
      <c r="A5" s="127" t="s">
        <v>1913</v>
      </c>
      <c r="B5" s="82" t="s">
        <v>1914</v>
      </c>
      <c r="C5" s="83">
        <f ca="1">C6+C7+C8</f>
        <v>21474052</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21474052</v>
      </c>
      <c r="D8" s="94"/>
      <c r="E8" s="92"/>
      <c r="F8" s="93"/>
      <c r="G8" s="1449"/>
    </row>
    <row r="9" spans="1:8" s="86" customFormat="1" ht="13.5" customHeight="1">
      <c r="A9" s="657" t="s">
        <v>619</v>
      </c>
      <c r="B9" s="96" t="s">
        <v>1924</v>
      </c>
      <c r="C9" s="97">
        <f ca="1">ROUND(D9*E9,0)</f>
        <v>11706008</v>
      </c>
      <c r="D9" s="706">
        <f ca="1">IF(B1="",'数据-汇总表'!E5,IF(INDIRECT("'数据-取费表'!c"&amp;$G$1)="住宅",INDIRECT("'数据-取费表'!k"&amp;$G$1),0))</f>
        <v>73162.550000000017</v>
      </c>
      <c r="E9" s="97">
        <f>'数据-取费表'!B27</f>
        <v>160</v>
      </c>
      <c r="F9" s="93"/>
      <c r="G9" s="98"/>
    </row>
    <row r="10" spans="1:8" s="86" customFormat="1" ht="13.5" customHeight="1">
      <c r="A10" s="657" t="s">
        <v>620</v>
      </c>
      <c r="B10" s="96" t="s">
        <v>1926</v>
      </c>
      <c r="C10" s="97">
        <f ca="1">ROUND(D10*E10,0)</f>
        <v>9768044</v>
      </c>
      <c r="D10" s="706">
        <f ca="1">IF(B1="",'数据-汇总表'!E6,IF(INDIRECT("'数据-取费表'!c"&amp;$G$1)="住宅",INDIRECT("'数据-取费表'!s"&amp;$G$1),INDIRECT("'数据-取费表'!k"&amp;$G$1)+INDIRECT("'数据-取费表'!s"&amp;$G$1)))</f>
        <v>48840.219999999987</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24400554</v>
      </c>
      <c r="D19" s="709">
        <f ca="1">D9+D10</f>
        <v>122002.77</v>
      </c>
      <c r="E19" s="83">
        <f>'数据-取费表'!B31</f>
        <v>200</v>
      </c>
      <c r="F19" s="103"/>
      <c r="G19" s="1449"/>
    </row>
    <row r="20" spans="1:7" s="86" customFormat="1" ht="13.5" customHeight="1">
      <c r="A20" s="127" t="s">
        <v>2020</v>
      </c>
      <c r="B20" s="82" t="s">
        <v>2021</v>
      </c>
      <c r="C20" s="104">
        <f ca="1">ROUND((C5+C19)*F20,0)</f>
        <v>917492</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3972925</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1841701</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2092689</v>
      </c>
      <c r="D24" s="110"/>
      <c r="E24" s="110"/>
      <c r="F24" s="111"/>
      <c r="G24" s="112" t="s">
        <v>2032</v>
      </c>
    </row>
    <row r="25" spans="1:7" s="86" customFormat="1" ht="24">
      <c r="A25" s="658" t="s">
        <v>1922</v>
      </c>
      <c r="B25" s="87" t="s">
        <v>2033</v>
      </c>
      <c r="C25" s="953">
        <f ca="1">ROUND(IF('数据-取费表'!B22&lt;=1,C20*F22*'数据-取费表'!B22/2,C20*(POWER((1+F22),'数据-取费表'!B22/2)-1)),0)</f>
        <v>38535</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6.4">
      <c r="A27" s="127" t="s">
        <v>1958</v>
      </c>
      <c r="B27" s="116" t="s">
        <v>1959</v>
      </c>
      <c r="C27" s="117">
        <f ca="1">C28</f>
        <v>5147131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5147131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60530642</v>
      </c>
      <c r="D31" s="102"/>
      <c r="E31" s="83"/>
      <c r="F31" s="122"/>
      <c r="G31" s="106" t="s">
        <v>1968</v>
      </c>
    </row>
    <row r="32" spans="1:7" s="80" customFormat="1" ht="16.2">
      <c r="A32" s="124" t="s">
        <v>2035</v>
      </c>
      <c r="B32" s="125"/>
      <c r="C32" s="125"/>
      <c r="D32" s="125"/>
      <c r="E32" s="125"/>
      <c r="F32" s="125"/>
      <c r="G32" s="126"/>
    </row>
    <row r="33" spans="1:7" s="86" customFormat="1" ht="13.5" customHeight="1">
      <c r="A33" s="127" t="s">
        <v>601</v>
      </c>
      <c r="B33" s="82" t="s">
        <v>2036</v>
      </c>
      <c r="C33" s="128">
        <f ca="1">SUM(C34:C38)</f>
        <v>513993114</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459919153</v>
      </c>
      <c r="D34" s="89"/>
      <c r="E34" s="92"/>
      <c r="F34" s="129"/>
      <c r="G34" s="91"/>
    </row>
    <row r="35" spans="1:7" ht="13.5" customHeight="1">
      <c r="A35" s="658" t="s">
        <v>615</v>
      </c>
      <c r="B35" s="87" t="s">
        <v>1973</v>
      </c>
      <c r="C35" s="92">
        <f ca="1">ROUND(C34*F35,0)</f>
        <v>13797575</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8977045</v>
      </c>
      <c r="D36" s="92"/>
      <c r="E36" s="92"/>
      <c r="F36" s="131">
        <f>'数据-取费表'!B34</f>
        <v>0.03</v>
      </c>
      <c r="G36" s="132" t="s">
        <v>1976</v>
      </c>
    </row>
    <row r="37" spans="1:7" s="130" customFormat="1" ht="13.5" customHeight="1">
      <c r="A37" s="658" t="s">
        <v>617</v>
      </c>
      <c r="B37" s="87" t="s">
        <v>1977</v>
      </c>
      <c r="C37" s="121">
        <f ca="1">ROUND(E37*D37,0)</f>
        <v>24400554</v>
      </c>
      <c r="D37" s="89">
        <f ca="1">D19</f>
        <v>122002.77</v>
      </c>
      <c r="E37" s="121">
        <f>'数据-取费表'!B35</f>
        <v>200</v>
      </c>
      <c r="F37" s="131"/>
      <c r="G37" s="133"/>
    </row>
    <row r="38" spans="1:7" ht="13.5" customHeight="1">
      <c r="A38" s="658" t="s">
        <v>618</v>
      </c>
      <c r="B38" s="87" t="s">
        <v>1979</v>
      </c>
      <c r="C38" s="92">
        <f ca="1">ROUND(C34*F38,0)</f>
        <v>6898787</v>
      </c>
      <c r="D38" s="92"/>
      <c r="E38" s="92"/>
      <c r="F38" s="131">
        <f>'数据-取费表'!B36</f>
        <v>1.4999999999999999E-2</v>
      </c>
      <c r="G38" s="91" t="s">
        <v>1974</v>
      </c>
    </row>
    <row r="39" spans="1:7" s="86" customFormat="1" ht="13.5" customHeight="1">
      <c r="A39" s="127" t="s">
        <v>1980</v>
      </c>
      <c r="B39" s="82" t="s">
        <v>1981</v>
      </c>
      <c r="C39" s="104">
        <f ca="1">ROUND(C33*F20,0)</f>
        <v>10279862</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22019465</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21587711</v>
      </c>
      <c r="D42" s="110"/>
      <c r="E42" s="110"/>
      <c r="F42" s="111"/>
      <c r="G42" s="3846" t="s">
        <v>2037</v>
      </c>
    </row>
    <row r="43" spans="1:7" ht="13.5" customHeight="1">
      <c r="A43" s="658" t="s">
        <v>611</v>
      </c>
      <c r="B43" s="87" t="s">
        <v>1991</v>
      </c>
      <c r="C43" s="110">
        <f ca="1">ROUND(IF('数据-取费表'!B22&lt;=1,C39*F22*'数据-取费表'!B20/2,C39*(POWER((1+F22),'数据-取费表'!B20/2)-1)),0)</f>
        <v>431754</v>
      </c>
      <c r="D43" s="110"/>
      <c r="E43" s="110"/>
      <c r="F43" s="111"/>
      <c r="G43" s="3847"/>
    </row>
    <row r="44" spans="1:7" ht="13.5" customHeight="1">
      <c r="A44" s="658" t="s">
        <v>612</v>
      </c>
      <c r="B44" s="87" t="s">
        <v>1992</v>
      </c>
      <c r="C44" s="110">
        <f ca="1">ROUND(IF('数据-取费表'!B22&lt;=1,C40*F22*'数据-取费表'!B20/2,C40*(POWER((1+F22),'数据-取费表'!B20/2)-1)),4)</f>
        <v>8.0000000000000004E-4</v>
      </c>
      <c r="D44" s="110"/>
      <c r="E44" s="110"/>
      <c r="F44" s="111"/>
      <c r="G44" s="3848"/>
    </row>
    <row r="45" spans="1:7" s="86" customFormat="1" ht="13.5" customHeight="1">
      <c r="A45" s="127" t="s">
        <v>1993</v>
      </c>
      <c r="B45" s="116" t="s">
        <v>1959</v>
      </c>
      <c r="C45" s="117">
        <f ca="1">C46</f>
        <v>57670027</v>
      </c>
      <c r="D45" s="107">
        <f ca="1">C47</f>
        <v>2.2000000000000001E-3</v>
      </c>
      <c r="E45" s="108" t="s">
        <v>1985</v>
      </c>
      <c r="F45" s="1838">
        <f ca="1">F27</f>
        <v>0.11</v>
      </c>
      <c r="G45" s="119" t="s">
        <v>1994</v>
      </c>
    </row>
    <row r="46" spans="1:7" s="86" customFormat="1" ht="13.5" customHeight="1">
      <c r="A46" s="658" t="s">
        <v>610</v>
      </c>
      <c r="B46" s="120" t="s">
        <v>1995</v>
      </c>
      <c r="C46" s="121">
        <f ca="1">ROUND((C33+C39)*F27,0)</f>
        <v>57670027</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653851324</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653851324</v>
      </c>
      <c r="D51" s="104"/>
      <c r="E51" s="104"/>
      <c r="F51" s="136"/>
      <c r="G51" s="106" t="s">
        <v>2006</v>
      </c>
    </row>
    <row r="52" spans="1:7" s="80" customFormat="1" ht="16.8" thickBot="1">
      <c r="A52" s="137" t="s">
        <v>2007</v>
      </c>
      <c r="B52" s="138"/>
      <c r="C52" s="139">
        <f ca="1">C31+C51</f>
        <v>714381966</v>
      </c>
      <c r="D52" s="138"/>
      <c r="E52" s="138"/>
      <c r="F52" s="138"/>
      <c r="G52" s="140"/>
    </row>
    <row r="55" spans="1:7" ht="15">
      <c r="B55" s="142" t="s">
        <v>2008</v>
      </c>
      <c r="C55" s="143"/>
    </row>
    <row r="56" spans="1:7">
      <c r="B56" s="145" t="s">
        <v>1237</v>
      </c>
      <c r="C56" s="147">
        <f ca="1">1-C57</f>
        <v>8.4999999999999964E-2</v>
      </c>
    </row>
    <row r="57" spans="1:7">
      <c r="B57" s="145" t="s">
        <v>1238</v>
      </c>
      <c r="C57" s="146">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J42" sqref="J42"/>
    </sheetView>
  </sheetViews>
  <sheetFormatPr defaultColWidth="6.6640625" defaultRowHeight="13.2"/>
  <cols>
    <col min="1" max="1" width="9.77734375" style="537" customWidth="1"/>
    <col min="2" max="2" width="25.77734375" style="2472" customWidth="1"/>
    <col min="3" max="3" width="10.33203125" style="2473" customWidth="1"/>
    <col min="4" max="4" width="9.88671875" style="2472" customWidth="1"/>
    <col min="5" max="5" width="9.44140625" style="2474" customWidth="1"/>
    <col min="6" max="6" width="10.109375" style="659" customWidth="1"/>
    <col min="7" max="7" width="10.77734375" style="659" customWidth="1"/>
    <col min="8" max="8" width="10" style="659" customWidth="1"/>
    <col min="9" max="11" width="9.44140625" style="659" customWidth="1"/>
    <col min="12" max="12" width="9" style="659" customWidth="1"/>
    <col min="13" max="13" width="10.44140625" style="659" bestFit="1" customWidth="1"/>
    <col min="14" max="254" width="9" style="659" customWidth="1"/>
    <col min="255" max="16384" width="6.6640625" style="659"/>
  </cols>
  <sheetData>
    <row r="1" spans="1:33" ht="21">
      <c r="A1" s="68" t="s">
        <v>2040</v>
      </c>
      <c r="B1" s="2431"/>
      <c r="C1" s="2432"/>
      <c r="D1" s="2433"/>
      <c r="E1" s="2434"/>
      <c r="F1" s="2181"/>
      <c r="G1" s="2079"/>
      <c r="H1" s="2181"/>
      <c r="I1" s="2181"/>
      <c r="J1" s="2181"/>
      <c r="K1" s="2182">
        <f>MATCH(C1,'数据-取费表'!A6:A16,0)+5</f>
        <v>10</v>
      </c>
    </row>
    <row r="2" spans="1:33" ht="18" customHeight="1">
      <c r="A2" s="73" t="s">
        <v>1908</v>
      </c>
      <c r="B2" s="2435">
        <f ca="1">C32</f>
        <v>462141</v>
      </c>
      <c r="C2" s="2436" t="s">
        <v>2041</v>
      </c>
      <c r="D2" s="2436"/>
      <c r="E2" s="2434"/>
      <c r="F2" s="2181"/>
      <c r="G2" s="2181"/>
      <c r="H2" s="2181"/>
      <c r="I2" s="2181"/>
      <c r="J2" s="2181"/>
      <c r="K2" s="2181"/>
    </row>
    <row r="3" spans="1:33" ht="18" customHeight="1" thickBot="1">
      <c r="A3" s="75" t="s">
        <v>1910</v>
      </c>
      <c r="B3" s="2435">
        <f ca="1">ROUND(B2*10000/IF(C1="",'数据-汇总表'!E3,INDIRECT("'数据-取费表'!K"&amp;$K$1)),0)</f>
        <v>37880</v>
      </c>
      <c r="C3" s="2436" t="s">
        <v>2042</v>
      </c>
      <c r="D3" s="2436"/>
      <c r="E3" s="2434"/>
      <c r="F3" s="2181"/>
      <c r="G3" s="2181"/>
      <c r="H3" s="2181"/>
      <c r="I3" s="2181"/>
      <c r="J3" s="2181"/>
      <c r="K3" s="2181"/>
    </row>
    <row r="4" spans="1:33" s="663" customFormat="1" ht="16.5" customHeight="1">
      <c r="A4" s="660" t="s">
        <v>2043</v>
      </c>
      <c r="B4" s="2437"/>
      <c r="C4" s="2438">
        <f>SUM(C8:K8)</f>
        <v>594800</v>
      </c>
      <c r="D4" s="2437"/>
      <c r="E4" s="2437"/>
      <c r="F4" s="661"/>
      <c r="G4" s="661"/>
      <c r="H4" s="661"/>
      <c r="I4" s="661"/>
      <c r="J4" s="661"/>
      <c r="K4" s="662"/>
    </row>
    <row r="5" spans="1:33" s="666" customFormat="1" ht="14.4">
      <c r="A5" s="664" t="s">
        <v>2044</v>
      </c>
      <c r="B5" s="2439" t="s">
        <v>2045</v>
      </c>
      <c r="C5" s="2440" t="s">
        <v>3179</v>
      </c>
      <c r="D5" s="2440" t="s">
        <v>3559</v>
      </c>
      <c r="E5" s="2440"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1" t="s">
        <v>2046</v>
      </c>
      <c r="C6" s="2442">
        <v>66120</v>
      </c>
      <c r="D6" s="2442">
        <f>'比较法-仓储'!B3</f>
        <v>29570</v>
      </c>
      <c r="E6" s="2442">
        <f>'比较法-车位'!B3</f>
        <v>10539</v>
      </c>
      <c r="F6" s="668"/>
      <c r="G6" s="668"/>
      <c r="H6" s="668"/>
      <c r="I6" s="668"/>
      <c r="J6" s="668"/>
      <c r="K6" s="669"/>
      <c r="L6" s="670"/>
      <c r="M6" s="670"/>
      <c r="N6" s="3080">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1" t="s">
        <v>2048</v>
      </c>
      <c r="C7" s="2443">
        <f>SUMIF('数据-汇总表'!$C19:$C33,假设开发法!C5,'数据-汇总表'!$E19:$E33)</f>
        <v>73162.550000000017</v>
      </c>
      <c r="D7" s="2443">
        <f>SUMIF('数据-汇总表'!$C19:$C33,假设开发法!D5,'数据-汇总表'!$E19:$E33)</f>
        <v>31436.179999999993</v>
      </c>
      <c r="E7" s="2443">
        <f>SUMIF('数据-汇总表'!$C19:$C33,假设开发法!E5,'数据-汇总表'!$E19:$E33)</f>
        <v>17166.82</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4" t="s">
        <v>2050</v>
      </c>
      <c r="C8" s="2445">
        <f>ROUND(C6*C7/10000,0)</f>
        <v>483751</v>
      </c>
      <c r="D8" s="2445">
        <f t="shared" ref="D8" si="0">ROUND(D6*D7/10000,0)</f>
        <v>92957</v>
      </c>
      <c r="E8" s="2445">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7"/>
      <c r="C9" s="2437"/>
      <c r="D9" s="2437"/>
      <c r="E9" s="2437"/>
      <c r="F9" s="661"/>
      <c r="G9" s="661"/>
      <c r="H9" s="661"/>
      <c r="I9" s="661"/>
      <c r="J9" s="661"/>
      <c r="K9" s="662"/>
    </row>
    <row r="10" spans="1:33" s="675" customFormat="1" ht="13.5" customHeight="1">
      <c r="A10" s="664" t="s">
        <v>2052</v>
      </c>
      <c r="B10" s="2446" t="s">
        <v>2053</v>
      </c>
      <c r="C10" s="2447" t="s">
        <v>2054</v>
      </c>
      <c r="D10" s="2447" t="s">
        <v>2055</v>
      </c>
      <c r="E10" s="2447" t="s">
        <v>2056</v>
      </c>
      <c r="F10" s="672" t="s">
        <v>2057</v>
      </c>
      <c r="G10" s="8"/>
      <c r="H10" s="673"/>
      <c r="I10" s="673"/>
      <c r="J10" s="673"/>
      <c r="K10" s="674"/>
    </row>
    <row r="11" spans="1:33" s="678" customFormat="1" ht="13.5" customHeight="1">
      <c r="A11" s="676" t="s">
        <v>1060</v>
      </c>
      <c r="B11" s="2448" t="s">
        <v>2058</v>
      </c>
      <c r="C11" s="2449">
        <f ca="1">IF(C1="",'数据-取费表'!P16,INDIRECT("'数据-取费表'!p"&amp;$K$1)+INDIRECT("'数据-取费表'!ar"&amp;$K$1))</f>
        <v>24375</v>
      </c>
      <c r="D11" s="2450"/>
      <c r="E11" s="2451"/>
      <c r="F11" s="677">
        <f ca="1">1-IF('数据-取费表'!B24=0,1,IF(C1="",'数据-取费表'!N16,INDIRECT("'数据-取费表'!n"&amp;$K$1)))</f>
        <v>0.53</v>
      </c>
      <c r="G11" s="8"/>
      <c r="H11" s="673"/>
      <c r="I11" s="673"/>
      <c r="J11" s="673"/>
      <c r="K11" s="674"/>
    </row>
    <row r="12" spans="1:33" s="678" customFormat="1" ht="13.5" customHeight="1">
      <c r="A12" s="676" t="s">
        <v>1061</v>
      </c>
      <c r="B12" s="2448" t="s">
        <v>2059</v>
      </c>
      <c r="C12" s="2449">
        <f ca="1">ROUND(C11*F12,0)</f>
        <v>731</v>
      </c>
      <c r="D12" s="2450"/>
      <c r="E12" s="2451"/>
      <c r="F12" s="679">
        <f>'数据-取费表'!B33</f>
        <v>0.03</v>
      </c>
      <c r="G12" s="8" t="s">
        <v>2060</v>
      </c>
      <c r="H12" s="673"/>
      <c r="I12" s="673"/>
      <c r="J12" s="673"/>
      <c r="K12" s="674"/>
    </row>
    <row r="13" spans="1:33" s="678" customFormat="1" ht="13.5" customHeight="1">
      <c r="A13" s="676" t="s">
        <v>1062</v>
      </c>
      <c r="B13" s="2448" t="s">
        <v>2061</v>
      </c>
      <c r="C13" s="2449">
        <f ca="1">ROUND(IF(C1="",SUMIF('数据-取费表'!C:C,"住宅",'数据-取费表'!P:P)*F13,IF(INDIRECT("'数据-取费表'!c"&amp;$K$1)="住宅",INDIRECT("'数据-取费表'!P"&amp;$K$1)*F13,0)),0)</f>
        <v>476</v>
      </c>
      <c r="D13" s="2450"/>
      <c r="E13" s="2451"/>
      <c r="F13" s="679">
        <f>'数据-取费表'!B34</f>
        <v>0.03</v>
      </c>
      <c r="G13" s="8" t="s">
        <v>2062</v>
      </c>
      <c r="H13" s="673"/>
      <c r="I13" s="673"/>
      <c r="J13" s="673"/>
      <c r="K13" s="674"/>
    </row>
    <row r="14" spans="1:33" s="680" customFormat="1" ht="13.5" customHeight="1">
      <c r="A14" s="676" t="s">
        <v>1063</v>
      </c>
      <c r="B14" s="2448" t="s">
        <v>2063</v>
      </c>
      <c r="C14" s="2449">
        <f ca="1">ROUND(D14*E14*F11/10000,0)</f>
        <v>1293</v>
      </c>
      <c r="D14" s="2450">
        <f ca="1">IF(C1="",'数据-汇总表'!E3,INDIRECT("'数据-取费表'!K"&amp;$K$1)+INDIRECT("'数据-取费表'!S"&amp;$K$1))</f>
        <v>122002.77</v>
      </c>
      <c r="E14" s="2449">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8" t="s">
        <v>2065</v>
      </c>
      <c r="C15" s="2450">
        <f ca="1">ROUND(C11*F15,0)</f>
        <v>366</v>
      </c>
      <c r="D15" s="2452"/>
      <c r="E15" s="2450"/>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8" t="s">
        <v>2067</v>
      </c>
      <c r="C16" s="2450">
        <f ca="1">SUM(C11:C15)</f>
        <v>27241</v>
      </c>
      <c r="D16" s="2452"/>
      <c r="E16" s="2450"/>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8" t="s">
        <v>2068</v>
      </c>
      <c r="C17" s="2449">
        <f ca="1">ROUND(D17*E17/10000,0)</f>
        <v>0</v>
      </c>
      <c r="D17" s="2450">
        <f ca="1">D14</f>
        <v>122002.77</v>
      </c>
      <c r="E17" s="2449">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8" t="s">
        <v>2070</v>
      </c>
      <c r="C18" s="2449">
        <f ca="1">C19+C20-IF(C1="",'数据-取费表'!B29,IF(G18="已全部缴纳",C19+C20,H18))</f>
        <v>0</v>
      </c>
      <c r="D18" s="2450"/>
      <c r="E18" s="2449"/>
      <c r="F18" s="679"/>
      <c r="G18" s="1455"/>
      <c r="H18" s="987"/>
      <c r="I18" s="1456" t="s">
        <v>2071</v>
      </c>
      <c r="J18" s="682"/>
      <c r="K18" s="683"/>
    </row>
    <row r="19" spans="1:33" s="678" customFormat="1" ht="13.5" customHeight="1">
      <c r="A19" s="676" t="s">
        <v>624</v>
      </c>
      <c r="B19" s="2448" t="s">
        <v>2072</v>
      </c>
      <c r="C19" s="2449">
        <f ca="1">ROUND(D19*E19/10000,0)</f>
        <v>1171</v>
      </c>
      <c r="D19" s="2450">
        <f ca="1">IF(C1="",'数据-汇总表'!E5,IF(INDIRECT("'数据-取费表'!c"&amp;$K$1)="住宅",INDIRECT("'数据-取费表'!k"&amp;$K$1),0))</f>
        <v>73162.550000000017</v>
      </c>
      <c r="E19" s="2449">
        <f>'数据-取费表'!B27</f>
        <v>160</v>
      </c>
      <c r="F19" s="679"/>
      <c r="G19" s="15"/>
      <c r="H19" s="989"/>
      <c r="I19" s="684"/>
      <c r="J19" s="684"/>
      <c r="K19" s="685"/>
    </row>
    <row r="20" spans="1:33" s="678" customFormat="1" ht="13.5" customHeight="1">
      <c r="A20" s="676" t="s">
        <v>625</v>
      </c>
      <c r="B20" s="2448" t="s">
        <v>2073</v>
      </c>
      <c r="C20" s="2449">
        <f ca="1">ROUND(D20*E20/10000,0)</f>
        <v>977</v>
      </c>
      <c r="D20" s="2450">
        <f ca="1">IF(C1="",'数据-汇总表'!E6,IF(INDIRECT("'数据-取费表'!c"&amp;$K$1)="住宅",INDIRECT("'数据-取费表'!s"&amp;$K$1),INDIRECT("'数据-取费表'!k"&amp;$K$1)+INDIRECT("'数据-取费表'!s"&amp;$K$1)))</f>
        <v>48840.219999999987</v>
      </c>
      <c r="E20" s="2449">
        <f>'数据-取费表'!B28</f>
        <v>200</v>
      </c>
      <c r="F20" s="679"/>
      <c r="G20" s="15"/>
      <c r="H20" s="684"/>
      <c r="I20" s="684"/>
      <c r="J20" s="684"/>
      <c r="K20" s="685"/>
    </row>
    <row r="21" spans="1:33" s="678" customFormat="1" ht="13.5" customHeight="1">
      <c r="A21" s="667" t="s">
        <v>621</v>
      </c>
      <c r="B21" s="2453" t="s">
        <v>2074</v>
      </c>
      <c r="C21" s="2454">
        <f ca="1">C16+C17+C18</f>
        <v>27241</v>
      </c>
      <c r="D21" s="2455"/>
      <c r="E21" s="2455"/>
      <c r="F21" s="150"/>
      <c r="G21" s="57" t="s">
        <v>2075</v>
      </c>
      <c r="H21" s="682"/>
      <c r="I21" s="682"/>
      <c r="J21" s="682"/>
      <c r="K21" s="683"/>
    </row>
    <row r="22" spans="1:33" s="678" customFormat="1" ht="13.5" customHeight="1">
      <c r="A22" s="667" t="s">
        <v>2047</v>
      </c>
      <c r="B22" s="2453" t="s">
        <v>2076</v>
      </c>
      <c r="C22" s="2454">
        <f ca="1">ROUND(C21*F22,0)</f>
        <v>545</v>
      </c>
      <c r="D22" s="2455"/>
      <c r="E22" s="2455"/>
      <c r="F22" s="687">
        <f>'数据-取费表'!B37</f>
        <v>0.02</v>
      </c>
      <c r="G22" s="8" t="s">
        <v>2077</v>
      </c>
      <c r="H22" s="673"/>
      <c r="I22" s="673"/>
      <c r="J22" s="673"/>
      <c r="K22" s="674"/>
    </row>
    <row r="23" spans="1:33" s="678" customFormat="1" ht="13.5" customHeight="1">
      <c r="A23" s="667" t="s">
        <v>2049</v>
      </c>
      <c r="B23" s="2453" t="s">
        <v>2078</v>
      </c>
      <c r="C23" s="2454">
        <f ca="1">ROUND(C4*F23*F11,0)</f>
        <v>6305</v>
      </c>
      <c r="D23" s="2455"/>
      <c r="E23" s="2455"/>
      <c r="F23" s="687">
        <f>'数据-取费表'!B38</f>
        <v>0.02</v>
      </c>
      <c r="G23" s="8" t="s">
        <v>2079</v>
      </c>
      <c r="H23" s="673"/>
      <c r="I23" s="673"/>
      <c r="J23" s="673"/>
      <c r="K23" s="674"/>
    </row>
    <row r="24" spans="1:33" s="678" customFormat="1" ht="13.5" customHeight="1">
      <c r="A24" s="667" t="s">
        <v>2080</v>
      </c>
      <c r="B24" s="2453" t="s">
        <v>2081</v>
      </c>
      <c r="C24" s="2456">
        <f>ROUND(F24/(1+'数据-取费表'!C42),4)</f>
        <v>2.9000000000000001E-2</v>
      </c>
      <c r="D24" s="2455" t="s">
        <v>15</v>
      </c>
      <c r="E24" s="2455"/>
      <c r="F24" s="687">
        <f>IF(项目基本情况!B8="出让",0,'数据-取费表'!B48+'数据-取费表'!B49)</f>
        <v>3.0499999999999999E-2</v>
      </c>
      <c r="G24" s="8" t="s">
        <v>2082</v>
      </c>
      <c r="H24" s="689"/>
      <c r="I24" s="689"/>
      <c r="J24" s="689"/>
      <c r="K24" s="690"/>
    </row>
    <row r="25" spans="1:33" s="678" customFormat="1" ht="13.5" customHeight="1">
      <c r="A25" s="667" t="s">
        <v>2083</v>
      </c>
      <c r="B25" s="2455" t="s">
        <v>2084</v>
      </c>
      <c r="C25" s="2457">
        <f ca="1">C27</f>
        <v>752</v>
      </c>
      <c r="D25" s="2456">
        <f ca="1">C26</f>
        <v>4.5900000000000003E-2</v>
      </c>
      <c r="E25" s="2458"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59" t="s">
        <v>2085</v>
      </c>
      <c r="C26" s="2460">
        <f ca="1">ROUND(IF('数据-取费表'!B22&lt;=1,(1+C24)*F25*'数据-取费表'!B24,(1+C24)*(POWER((1+F25),'数据-取费表'!B24)-1)),4)</f>
        <v>4.5900000000000003E-2</v>
      </c>
      <c r="D26" s="2449"/>
      <c r="E26" s="2461"/>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59" t="s">
        <v>2086</v>
      </c>
      <c r="C27" s="2462">
        <f ca="1">ROUND(IF('数据-取费表'!B22&lt;=1,(C21+C22+C23)*F25*'数据-取费表'!B24/2,(C21+C22+C23)*(POWER((1+F25),'数据-取费表'!B24/2)-1)),0)</f>
        <v>752</v>
      </c>
      <c r="D27" s="2449"/>
      <c r="E27" s="2461"/>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3" t="s">
        <v>2088</v>
      </c>
      <c r="C28" s="2464">
        <f ca="1">C30</f>
        <v>3750</v>
      </c>
      <c r="D28" s="2456">
        <f ca="1">C29</f>
        <v>0.06</v>
      </c>
      <c r="E28" s="2458" t="s">
        <v>15</v>
      </c>
      <c r="F28" s="153">
        <f ca="1">IF(C1="",'数据-取费表'!Q16,INDIRECT("'数据-取费表'!q"&amp;$K$1))</f>
        <v>0.11</v>
      </c>
      <c r="G28" s="688"/>
      <c r="H28" s="689"/>
      <c r="I28" s="689"/>
      <c r="J28" s="689"/>
      <c r="K28" s="690"/>
    </row>
    <row r="29" spans="1:33" s="156" customFormat="1" ht="13.5" customHeight="1">
      <c r="A29" s="676" t="s">
        <v>622</v>
      </c>
      <c r="B29" s="2465" t="s">
        <v>2089</v>
      </c>
      <c r="C29" s="2449">
        <f ca="1">ROUND((1+C24)*F28*'数据-取费表'!B24/'数据-取费表'!B20,4)</f>
        <v>0.06</v>
      </c>
      <c r="D29" s="2449"/>
      <c r="E29" s="2461"/>
      <c r="F29" s="155"/>
      <c r="G29" s="57" t="s">
        <v>2090</v>
      </c>
      <c r="H29" s="682"/>
      <c r="I29" s="682"/>
      <c r="J29" s="682"/>
      <c r="K29" s="683"/>
    </row>
    <row r="30" spans="1:33" s="156" customFormat="1" ht="13.5" customHeight="1">
      <c r="A30" s="676" t="s">
        <v>623</v>
      </c>
      <c r="B30" s="2465" t="s">
        <v>2091</v>
      </c>
      <c r="C30" s="2466">
        <f ca="1">ROUND((C21+C22+C23)*F28,0)</f>
        <v>3750</v>
      </c>
      <c r="D30" s="2449"/>
      <c r="E30" s="2461"/>
      <c r="F30" s="155"/>
      <c r="G30" s="57"/>
      <c r="H30" s="682"/>
      <c r="I30" s="682"/>
      <c r="J30" s="682"/>
      <c r="K30" s="683"/>
    </row>
    <row r="31" spans="1:33" s="678" customFormat="1" ht="13.5" customHeight="1" thickBot="1">
      <c r="A31" s="1458" t="s">
        <v>2092</v>
      </c>
      <c r="B31" s="2467" t="s">
        <v>2093</v>
      </c>
      <c r="C31" s="2468">
        <f>ROUND(C4*F31/(1+'数据-取费表'!C42),0)</f>
        <v>31723</v>
      </c>
      <c r="D31" s="2469"/>
      <c r="E31" s="2469"/>
      <c r="F31" s="698">
        <f>'数据-取费表'!B41</f>
        <v>5.6000000000000001E-2</v>
      </c>
      <c r="G31" s="699" t="s">
        <v>2094</v>
      </c>
      <c r="H31" s="700"/>
      <c r="I31" s="700"/>
      <c r="J31" s="700"/>
      <c r="K31" s="701"/>
    </row>
    <row r="32" spans="1:33" s="675" customFormat="1" ht="13.5" customHeight="1" thickBot="1">
      <c r="A32" s="694" t="s">
        <v>2095</v>
      </c>
      <c r="B32" s="2470"/>
      <c r="C32" s="2471">
        <f ca="1">ROUND((C4-C21-C22-C23-C25-C28-C31)/(1+C24+D25+D28),0)</f>
        <v>462141</v>
      </c>
      <c r="D32" s="2470"/>
      <c r="E32" s="2470"/>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130" customWidth="1"/>
    <col min="2" max="2" width="20.6640625" style="479" customWidth="1"/>
    <col min="3" max="3" width="11.88671875" style="47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273" customWidth="1"/>
    <col min="12" max="12" width="16.33203125" style="130" customWidth="1"/>
    <col min="13" max="13" width="13" style="130" customWidth="1"/>
    <col min="14" max="14" width="13.77734375" style="1189" customWidth="1"/>
    <col min="15" max="15" width="5.109375" style="1189" customWidth="1"/>
    <col min="16" max="16" width="25.77734375" style="1189" customWidth="1"/>
    <col min="17" max="17" width="13.77734375" style="1189" customWidth="1"/>
    <col min="18" max="18" width="20.44140625" style="1189" customWidth="1"/>
    <col min="19" max="19" width="13.21875" style="1189" customWidth="1"/>
    <col min="20" max="37" width="9" style="1189"/>
    <col min="38" max="16384" width="9" style="130"/>
  </cols>
  <sheetData>
    <row r="1" spans="1:37" s="157" customFormat="1" ht="21.6">
      <c r="A1" s="1180" t="s">
        <v>1313</v>
      </c>
      <c r="B1" s="526"/>
      <c r="C1" s="1184"/>
      <c r="D1" s="1167"/>
      <c r="E1" s="1168" t="s">
        <v>1111</v>
      </c>
      <c r="F1" s="888">
        <f ca="1">J53</f>
        <v>-1.06</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51" t="s">
        <v>1127</v>
      </c>
      <c r="C6" s="901">
        <f ca="1">ROUND(F6*F8*F7*(1-F9)/10000,0)</f>
        <v>0</v>
      </c>
      <c r="D6" s="60" t="s">
        <v>2607</v>
      </c>
      <c r="E6" s="166" t="s">
        <v>1129</v>
      </c>
      <c r="F6" s="167">
        <f ca="1">INDIRECT("'数据-取费表'!u"&amp;$G$1)</f>
        <v>0</v>
      </c>
      <c r="G6" s="1189"/>
      <c r="H6" s="896" t="s">
        <v>822</v>
      </c>
      <c r="I6" s="3851" t="s">
        <v>1127</v>
      </c>
      <c r="J6" s="165">
        <f ca="1">ROUND(M6*M8*M7*(1-M9)/10000,0)</f>
        <v>0</v>
      </c>
      <c r="K6" s="60" t="s">
        <v>2606</v>
      </c>
      <c r="L6" s="166" t="s">
        <v>1129</v>
      </c>
      <c r="M6" s="167">
        <f ca="1">INDIRECT("'数据-取费表'!z"&amp;$G$1)</f>
        <v>0</v>
      </c>
    </row>
    <row r="7" spans="1:37" ht="18" customHeight="1">
      <c r="A7" s="900"/>
      <c r="B7" s="3852"/>
      <c r="C7" s="902"/>
      <c r="D7" s="171"/>
      <c r="E7" s="903" t="s">
        <v>1130</v>
      </c>
      <c r="F7" s="167">
        <f ca="1">IF(INDIRECT("'数据-取费表'!ah"&amp;$G$1)="",INDIRECT("'数据-取费表'!k"&amp;$G$1),INDIRECT("'数据-取费表'!ah"&amp;$G$1))</f>
        <v>0</v>
      </c>
      <c r="G7" s="1189"/>
      <c r="H7" s="168"/>
      <c r="I7" s="3852"/>
      <c r="J7" s="170"/>
      <c r="K7" s="171"/>
      <c r="L7" s="166" t="s">
        <v>1130</v>
      </c>
      <c r="M7" s="167">
        <f ca="1">F7</f>
        <v>0</v>
      </c>
    </row>
    <row r="8" spans="1:37" ht="18" customHeight="1">
      <c r="A8" s="168"/>
      <c r="B8" s="3852"/>
      <c r="C8" s="170"/>
      <c r="D8" s="171"/>
      <c r="E8" s="166" t="s">
        <v>1131</v>
      </c>
      <c r="F8" s="167">
        <f ca="1">INDIRECT("'数据-取费表'!ai"&amp;$G$1)</f>
        <v>0</v>
      </c>
      <c r="G8" s="1189"/>
      <c r="H8" s="168"/>
      <c r="I8" s="3852"/>
      <c r="J8" s="170"/>
      <c r="K8" s="171"/>
      <c r="L8" s="166" t="s">
        <v>1131</v>
      </c>
      <c r="M8" s="167">
        <f ca="1">INDIRECT("'数据-取费表'!ai"&amp;$G$1)</f>
        <v>0</v>
      </c>
    </row>
    <row r="9" spans="1:37" ht="18" customHeight="1">
      <c r="A9" s="168"/>
      <c r="B9" s="3853"/>
      <c r="C9" s="170"/>
      <c r="D9" s="171"/>
      <c r="E9" s="166" t="s">
        <v>1132</v>
      </c>
      <c r="F9" s="176">
        <f ca="1">INDIRECT("'数据-取费表'!w"&amp;$G$1)</f>
        <v>0</v>
      </c>
      <c r="G9" s="1189"/>
      <c r="H9" s="168"/>
      <c r="I9" s="3853"/>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8"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8"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40.200000000000003"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8"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8"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8"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8"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36.6"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-1.06</v>
      </c>
      <c r="K53" s="3849" t="s">
        <v>1272</v>
      </c>
      <c r="L53" s="3850"/>
      <c r="O53" s="1223" t="s">
        <v>833</v>
      </c>
      <c r="P53" s="1224" t="s">
        <v>1273</v>
      </c>
      <c r="Q53" s="1225" t="e">
        <f ca="1">Q47+Q48</f>
        <v>#DIV/0!</v>
      </c>
      <c r="R53" s="1225" t="s">
        <v>834</v>
      </c>
    </row>
    <row r="54" spans="1:18" s="1189" customFormat="1" ht="24.6"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8"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37.200000000000003" thickTop="1" thickBot="1">
      <c r="A56" s="806">
        <v>2</v>
      </c>
      <c r="B56" s="807" t="s">
        <v>1138</v>
      </c>
      <c r="C56" s="104">
        <f ca="1">C13</f>
        <v>0</v>
      </c>
      <c r="D56" s="1252"/>
      <c r="E56" s="1253"/>
      <c r="F56" s="1245"/>
      <c r="I56" s="1254" t="s">
        <v>1278</v>
      </c>
      <c r="J56" s="1255"/>
      <c r="K56" s="1226" t="s">
        <v>1279</v>
      </c>
      <c r="L56" s="1229">
        <f ca="1">IF(L48&lt;J51,"——",L48-J53)</f>
        <v>1.06</v>
      </c>
      <c r="O56" s="1223" t="s">
        <v>827</v>
      </c>
      <c r="P56" s="1224" t="s">
        <v>1252</v>
      </c>
      <c r="Q56" s="1225" t="e">
        <f ca="1">C40+J29</f>
        <v>#DIV/0!</v>
      </c>
      <c r="R56" s="1225" t="s">
        <v>1253</v>
      </c>
    </row>
    <row r="57" spans="1:18" s="1189" customFormat="1" ht="24.6"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6"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6"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2"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8"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8"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8"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8"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8"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2"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24.6"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2"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8" thickBot="1">
      <c r="A69" s="800"/>
      <c r="B69" s="801"/>
      <c r="C69" s="170"/>
      <c r="D69" s="819" t="s">
        <v>1197</v>
      </c>
      <c r="E69" s="799" t="s">
        <v>1198</v>
      </c>
      <c r="F69" s="196">
        <f ca="1">F41</f>
        <v>0</v>
      </c>
      <c r="O69" s="1233" t="s">
        <v>835</v>
      </c>
      <c r="P69" s="1272" t="s">
        <v>1308</v>
      </c>
      <c r="Q69" s="1225">
        <f ca="1">C39</f>
        <v>0</v>
      </c>
      <c r="R69" s="1225" t="s">
        <v>1253</v>
      </c>
    </row>
    <row r="70" spans="1:18" s="1189" customFormat="1" ht="13.8" thickBot="1">
      <c r="A70" s="803"/>
      <c r="B70" s="804"/>
      <c r="C70" s="174"/>
      <c r="D70" s="815"/>
      <c r="E70" s="799" t="s">
        <v>1201</v>
      </c>
      <c r="F70" s="880"/>
      <c r="O70" s="1233" t="s">
        <v>836</v>
      </c>
      <c r="P70" s="1272" t="s">
        <v>1309</v>
      </c>
      <c r="Q70" s="1225">
        <f ca="1">C13</f>
        <v>0</v>
      </c>
      <c r="R70" s="1225" t="s">
        <v>1253</v>
      </c>
    </row>
    <row r="71" spans="1:18" s="1189" customFormat="1" ht="13.8"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8" thickBot="1">
      <c r="B72" s="535"/>
      <c r="C72" s="535"/>
      <c r="O72" s="1233" t="s">
        <v>831</v>
      </c>
      <c r="P72" s="1224" t="s">
        <v>1288</v>
      </c>
      <c r="Q72" s="1236">
        <f>L52</f>
        <v>0</v>
      </c>
      <c r="R72" s="1225"/>
    </row>
    <row r="73" spans="1:18" ht="16.2" thickBot="1">
      <c r="A73" s="1189"/>
      <c r="B73" s="535"/>
      <c r="C73" s="535"/>
      <c r="D73" s="1189"/>
      <c r="E73" s="1189"/>
      <c r="F73" s="1189"/>
      <c r="O73" s="1233" t="s">
        <v>832</v>
      </c>
      <c r="P73" s="1224" t="s">
        <v>1291</v>
      </c>
      <c r="Q73" s="1225" t="e">
        <f ca="1">L58</f>
        <v>#DIV/0!</v>
      </c>
      <c r="R73" s="1225" t="s">
        <v>1292</v>
      </c>
    </row>
    <row r="74" spans="1:18" ht="13.8"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8"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130" customWidth="1"/>
    <col min="2" max="2" width="20.6640625" style="479" customWidth="1"/>
    <col min="3" max="3" width="11.88671875" style="47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273" customWidth="1"/>
    <col min="12" max="12" width="16.33203125" style="130" customWidth="1"/>
    <col min="13" max="13" width="13" style="130" customWidth="1"/>
    <col min="14" max="14" width="13.77734375" style="1189" customWidth="1"/>
    <col min="15" max="15" width="5.109375" style="1189" customWidth="1"/>
    <col min="16" max="16" width="25.77734375" style="1189" customWidth="1"/>
    <col min="17" max="17" width="13.77734375" style="1189" customWidth="1"/>
    <col min="18" max="18" width="20.44140625" style="1189" customWidth="1"/>
    <col min="19" max="19" width="13.21875" style="1189" customWidth="1"/>
    <col min="20" max="37" width="9" style="1189"/>
    <col min="38" max="16384" width="9" style="130"/>
  </cols>
  <sheetData>
    <row r="1" spans="1:37" s="157" customFormat="1" ht="21.6">
      <c r="A1" s="1180" t="s">
        <v>1313</v>
      </c>
      <c r="B1" s="526"/>
      <c r="C1" s="1184"/>
      <c r="D1" s="1167"/>
      <c r="E1" s="1168" t="s">
        <v>1111</v>
      </c>
      <c r="F1" s="888">
        <f ca="1">J53</f>
        <v>-1.06</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51" t="s">
        <v>1127</v>
      </c>
      <c r="C6" s="901">
        <f ca="1">ROUND(F6*F8*F7*(1-F9),0)</f>
        <v>0</v>
      </c>
      <c r="D6" s="60" t="s">
        <v>2604</v>
      </c>
      <c r="E6" s="166" t="s">
        <v>1129</v>
      </c>
      <c r="F6" s="167">
        <f ca="1">INDIRECT("'数据-取费表'!u"&amp;$G$1)</f>
        <v>0</v>
      </c>
      <c r="G6" s="1189"/>
      <c r="H6" s="896" t="s">
        <v>822</v>
      </c>
      <c r="I6" s="3851" t="s">
        <v>1127</v>
      </c>
      <c r="J6" s="165">
        <f ca="1">ROUND(M6*M8*M7*(1-M9),0)</f>
        <v>0</v>
      </c>
      <c r="K6" s="1181" t="s">
        <v>2605</v>
      </c>
      <c r="L6" s="166" t="s">
        <v>1129</v>
      </c>
      <c r="M6" s="167">
        <f ca="1">INDIRECT("'数据-取费表'!z"&amp;$G$1)</f>
        <v>0</v>
      </c>
    </row>
    <row r="7" spans="1:37" ht="18" customHeight="1">
      <c r="A7" s="900"/>
      <c r="B7" s="3852"/>
      <c r="C7" s="902"/>
      <c r="D7" s="171"/>
      <c r="E7" s="903" t="s">
        <v>1130</v>
      </c>
      <c r="F7" s="167">
        <f ca="1">IF(INDIRECT("'数据-取费表'!ah"&amp;$G$1)="",INDIRECT("'数据-取费表'!k"&amp;$G$1),INDIRECT("'数据-取费表'!ah"&amp;$G$1))</f>
        <v>0</v>
      </c>
      <c r="G7" s="1189"/>
      <c r="H7" s="168"/>
      <c r="I7" s="3852"/>
      <c r="J7" s="170"/>
      <c r="K7" s="171"/>
      <c r="L7" s="166" t="s">
        <v>1130</v>
      </c>
      <c r="M7" s="167">
        <f ca="1">F7</f>
        <v>0</v>
      </c>
    </row>
    <row r="8" spans="1:37" ht="18" customHeight="1">
      <c r="A8" s="168"/>
      <c r="B8" s="3852"/>
      <c r="C8" s="170"/>
      <c r="D8" s="171"/>
      <c r="E8" s="166" t="s">
        <v>1131</v>
      </c>
      <c r="F8" s="167">
        <f ca="1">INDIRECT("'数据-取费表'!ai"&amp;$G$1)</f>
        <v>0</v>
      </c>
      <c r="G8" s="1189"/>
      <c r="H8" s="168"/>
      <c r="I8" s="3852"/>
      <c r="J8" s="170"/>
      <c r="K8" s="171"/>
      <c r="L8" s="166" t="s">
        <v>1131</v>
      </c>
      <c r="M8" s="167">
        <f ca="1">INDIRECT("'数据-取费表'!ai"&amp;$G$1)</f>
        <v>0</v>
      </c>
    </row>
    <row r="9" spans="1:37" ht="18" customHeight="1">
      <c r="A9" s="168"/>
      <c r="B9" s="3853"/>
      <c r="C9" s="170"/>
      <c r="D9" s="171"/>
      <c r="E9" s="166" t="s">
        <v>1132</v>
      </c>
      <c r="F9" s="176">
        <f ca="1">INDIRECT("'数据-取费表'!w"&amp;$G$1)</f>
        <v>0</v>
      </c>
      <c r="G9" s="1189"/>
      <c r="H9" s="168"/>
      <c r="I9" s="3853"/>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8"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8"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40.200000000000003"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8"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8"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8"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8"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-1.06</v>
      </c>
      <c r="K53" s="3849" t="s">
        <v>1272</v>
      </c>
      <c r="L53" s="3850"/>
      <c r="O53" s="1223" t="s">
        <v>833</v>
      </c>
      <c r="P53" s="1224" t="s">
        <v>1273</v>
      </c>
      <c r="Q53" s="1225" t="e">
        <f ca="1">Q47+Q48</f>
        <v>#DIV/0!</v>
      </c>
      <c r="R53" s="1225" t="s">
        <v>834</v>
      </c>
    </row>
    <row r="54" spans="1:18" s="1189" customFormat="1" ht="13.8"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8"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6"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6"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6"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2"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8"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8"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8"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8"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8"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2"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24.6"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2"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8" thickBot="1">
      <c r="A69" s="800"/>
      <c r="B69" s="801"/>
      <c r="C69" s="170"/>
      <c r="D69" s="819" t="s">
        <v>1197</v>
      </c>
      <c r="E69" s="799" t="s">
        <v>1198</v>
      </c>
      <c r="F69" s="196">
        <f ca="1">F41</f>
        <v>0</v>
      </c>
      <c r="O69" s="1233" t="s">
        <v>835</v>
      </c>
      <c r="P69" s="1272" t="s">
        <v>1308</v>
      </c>
      <c r="Q69" s="1225">
        <f ca="1">C39</f>
        <v>0</v>
      </c>
      <c r="R69" s="1225" t="s">
        <v>1253</v>
      </c>
    </row>
    <row r="70" spans="1:18" s="1189" customFormat="1" ht="13.8" thickBot="1">
      <c r="A70" s="803"/>
      <c r="B70" s="804"/>
      <c r="C70" s="174"/>
      <c r="D70" s="815"/>
      <c r="E70" s="799" t="s">
        <v>1201</v>
      </c>
      <c r="F70" s="880">
        <f ca="1">F42</f>
        <v>0</v>
      </c>
      <c r="O70" s="1233" t="s">
        <v>836</v>
      </c>
      <c r="P70" s="1272" t="s">
        <v>1309</v>
      </c>
      <c r="Q70" s="1225">
        <f ca="1">C13</f>
        <v>0</v>
      </c>
      <c r="R70" s="1225" t="s">
        <v>1253</v>
      </c>
    </row>
    <row r="71" spans="1:18" s="1189" customFormat="1" ht="13.8"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8" thickBot="1">
      <c r="B72" s="535"/>
      <c r="C72" s="535"/>
      <c r="O72" s="1233" t="s">
        <v>831</v>
      </c>
      <c r="P72" s="1224" t="s">
        <v>1288</v>
      </c>
      <c r="Q72" s="1236">
        <f>L52</f>
        <v>0</v>
      </c>
      <c r="R72" s="1225"/>
    </row>
    <row r="73" spans="1:18" ht="16.2" thickBot="1">
      <c r="A73" s="1189"/>
      <c r="B73" s="535"/>
      <c r="C73" s="535"/>
      <c r="D73" s="1189"/>
      <c r="E73" s="1189"/>
      <c r="F73" s="1189"/>
      <c r="O73" s="1233" t="s">
        <v>832</v>
      </c>
      <c r="P73" s="1224" t="s">
        <v>1291</v>
      </c>
      <c r="Q73" s="1225" t="e">
        <f ca="1">L58</f>
        <v>#DIV/0!</v>
      </c>
      <c r="R73" s="1225" t="s">
        <v>1292</v>
      </c>
    </row>
    <row r="74" spans="1:18" ht="13.8"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8"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2" customHeight="1"/>
  <cols>
    <col min="1" max="1" width="9.44140625" style="2210" customWidth="1"/>
    <col min="2" max="2" width="8.88671875" style="2210"/>
    <col min="3" max="5" width="12.88671875" style="2210" customWidth="1"/>
    <col min="6" max="6" width="47.44140625" style="2210" customWidth="1"/>
    <col min="7" max="7" width="13" style="2369" customWidth="1"/>
    <col min="8" max="8" width="8.88671875" style="2204"/>
    <col min="9" max="9" width="8.88671875" style="2205"/>
    <col min="10" max="10" width="5.77734375" style="2370" customWidth="1"/>
    <col min="11" max="11" width="11.77734375" style="2370" customWidth="1"/>
    <col min="12" max="13" width="10.77734375" style="2370" customWidth="1"/>
    <col min="14" max="14" width="10" style="2370" customWidth="1"/>
    <col min="15" max="16" width="10.44140625" style="2370" bestFit="1" customWidth="1"/>
    <col min="17" max="17" width="10" style="2370" customWidth="1"/>
    <col min="18" max="18" width="10.109375" style="2370" customWidth="1"/>
    <col min="19" max="19" width="10" style="2370" customWidth="1"/>
    <col min="20" max="20" width="26.109375" style="2370" customWidth="1"/>
    <col min="21" max="21" width="8.88671875" style="2370"/>
    <col min="22" max="22" width="8.88671875" style="2205"/>
    <col min="23" max="256" width="8.88671875" style="2210"/>
    <col min="257" max="257" width="9.44140625" style="2210" customWidth="1"/>
    <col min="258" max="258" width="8.88671875" style="2210"/>
    <col min="259" max="261" width="12.88671875" style="2210" customWidth="1"/>
    <col min="262" max="262" width="47.44140625" style="2210" customWidth="1"/>
    <col min="263" max="263" width="13" style="2210" customWidth="1"/>
    <col min="264" max="265" width="8.88671875" style="2210"/>
    <col min="266" max="266" width="5.77734375" style="2210" customWidth="1"/>
    <col min="267" max="267" width="11.77734375" style="2210" customWidth="1"/>
    <col min="268" max="269" width="10.77734375" style="2210" customWidth="1"/>
    <col min="270" max="270" width="10" style="2210" customWidth="1"/>
    <col min="271" max="272" width="10.44140625" style="2210" bestFit="1" customWidth="1"/>
    <col min="273" max="273" width="10" style="2210" customWidth="1"/>
    <col min="274" max="274" width="10.109375" style="2210" customWidth="1"/>
    <col min="275" max="275" width="10" style="2210" customWidth="1"/>
    <col min="276" max="276" width="26.109375" style="2210" customWidth="1"/>
    <col min="277" max="512" width="8.88671875" style="2210"/>
    <col min="513" max="513" width="9.44140625" style="2210" customWidth="1"/>
    <col min="514" max="514" width="8.88671875" style="2210"/>
    <col min="515" max="517" width="12.88671875" style="2210" customWidth="1"/>
    <col min="518" max="518" width="47.44140625" style="2210" customWidth="1"/>
    <col min="519" max="519" width="13" style="2210" customWidth="1"/>
    <col min="520" max="521" width="8.88671875" style="2210"/>
    <col min="522" max="522" width="5.77734375" style="2210" customWidth="1"/>
    <col min="523" max="523" width="11.77734375" style="2210" customWidth="1"/>
    <col min="524" max="525" width="10.77734375" style="2210" customWidth="1"/>
    <col min="526" max="526" width="10" style="2210" customWidth="1"/>
    <col min="527" max="528" width="10.44140625" style="2210" bestFit="1" customWidth="1"/>
    <col min="529" max="529" width="10" style="2210" customWidth="1"/>
    <col min="530" max="530" width="10.109375" style="2210" customWidth="1"/>
    <col min="531" max="531" width="10" style="2210" customWidth="1"/>
    <col min="532" max="532" width="26.109375" style="2210" customWidth="1"/>
    <col min="533" max="768" width="8.88671875" style="2210"/>
    <col min="769" max="769" width="9.44140625" style="2210" customWidth="1"/>
    <col min="770" max="770" width="8.88671875" style="2210"/>
    <col min="771" max="773" width="12.88671875" style="2210" customWidth="1"/>
    <col min="774" max="774" width="47.44140625" style="2210" customWidth="1"/>
    <col min="775" max="775" width="13" style="2210" customWidth="1"/>
    <col min="776" max="777" width="8.88671875" style="2210"/>
    <col min="778" max="778" width="5.77734375" style="2210" customWidth="1"/>
    <col min="779" max="779" width="11.77734375" style="2210" customWidth="1"/>
    <col min="780" max="781" width="10.77734375" style="2210" customWidth="1"/>
    <col min="782" max="782" width="10" style="2210" customWidth="1"/>
    <col min="783" max="784" width="10.44140625" style="2210" bestFit="1" customWidth="1"/>
    <col min="785" max="785" width="10" style="2210" customWidth="1"/>
    <col min="786" max="786" width="10.109375" style="2210" customWidth="1"/>
    <col min="787" max="787" width="10" style="2210" customWidth="1"/>
    <col min="788" max="788" width="26.109375" style="2210" customWidth="1"/>
    <col min="789" max="1024" width="8.88671875" style="2210"/>
    <col min="1025" max="1025" width="9.44140625" style="2210" customWidth="1"/>
    <col min="1026" max="1026" width="8.88671875" style="2210"/>
    <col min="1027" max="1029" width="12.88671875" style="2210" customWidth="1"/>
    <col min="1030" max="1030" width="47.44140625" style="2210" customWidth="1"/>
    <col min="1031" max="1031" width="13" style="2210" customWidth="1"/>
    <col min="1032" max="1033" width="8.88671875" style="2210"/>
    <col min="1034" max="1034" width="5.77734375" style="2210" customWidth="1"/>
    <col min="1035" max="1035" width="11.77734375" style="2210" customWidth="1"/>
    <col min="1036" max="1037" width="10.77734375" style="2210" customWidth="1"/>
    <col min="1038" max="1038" width="10" style="2210" customWidth="1"/>
    <col min="1039" max="1040" width="10.44140625" style="2210" bestFit="1" customWidth="1"/>
    <col min="1041" max="1041" width="10" style="2210" customWidth="1"/>
    <col min="1042" max="1042" width="10.109375" style="2210" customWidth="1"/>
    <col min="1043" max="1043" width="10" style="2210" customWidth="1"/>
    <col min="1044" max="1044" width="26.109375" style="2210" customWidth="1"/>
    <col min="1045" max="1280" width="8.88671875" style="2210"/>
    <col min="1281" max="1281" width="9.44140625" style="2210" customWidth="1"/>
    <col min="1282" max="1282" width="8.88671875" style="2210"/>
    <col min="1283" max="1285" width="12.88671875" style="2210" customWidth="1"/>
    <col min="1286" max="1286" width="47.44140625" style="2210" customWidth="1"/>
    <col min="1287" max="1287" width="13" style="2210" customWidth="1"/>
    <col min="1288" max="1289" width="8.88671875" style="2210"/>
    <col min="1290" max="1290" width="5.77734375" style="2210" customWidth="1"/>
    <col min="1291" max="1291" width="11.77734375" style="2210" customWidth="1"/>
    <col min="1292" max="1293" width="10.77734375" style="2210" customWidth="1"/>
    <col min="1294" max="1294" width="10" style="2210" customWidth="1"/>
    <col min="1295" max="1296" width="10.44140625" style="2210" bestFit="1" customWidth="1"/>
    <col min="1297" max="1297" width="10" style="2210" customWidth="1"/>
    <col min="1298" max="1298" width="10.109375" style="2210" customWidth="1"/>
    <col min="1299" max="1299" width="10" style="2210" customWidth="1"/>
    <col min="1300" max="1300" width="26.109375" style="2210" customWidth="1"/>
    <col min="1301" max="1536" width="8.88671875" style="2210"/>
    <col min="1537" max="1537" width="9.44140625" style="2210" customWidth="1"/>
    <col min="1538" max="1538" width="8.88671875" style="2210"/>
    <col min="1539" max="1541" width="12.88671875" style="2210" customWidth="1"/>
    <col min="1542" max="1542" width="47.44140625" style="2210" customWidth="1"/>
    <col min="1543" max="1543" width="13" style="2210" customWidth="1"/>
    <col min="1544" max="1545" width="8.88671875" style="2210"/>
    <col min="1546" max="1546" width="5.77734375" style="2210" customWidth="1"/>
    <col min="1547" max="1547" width="11.77734375" style="2210" customWidth="1"/>
    <col min="1548" max="1549" width="10.77734375" style="2210" customWidth="1"/>
    <col min="1550" max="1550" width="10" style="2210" customWidth="1"/>
    <col min="1551" max="1552" width="10.44140625" style="2210" bestFit="1" customWidth="1"/>
    <col min="1553" max="1553" width="10" style="2210" customWidth="1"/>
    <col min="1554" max="1554" width="10.109375" style="2210" customWidth="1"/>
    <col min="1555" max="1555" width="10" style="2210" customWidth="1"/>
    <col min="1556" max="1556" width="26.109375" style="2210" customWidth="1"/>
    <col min="1557" max="1792" width="8.88671875" style="2210"/>
    <col min="1793" max="1793" width="9.44140625" style="2210" customWidth="1"/>
    <col min="1794" max="1794" width="8.88671875" style="2210"/>
    <col min="1795" max="1797" width="12.88671875" style="2210" customWidth="1"/>
    <col min="1798" max="1798" width="47.44140625" style="2210" customWidth="1"/>
    <col min="1799" max="1799" width="13" style="2210" customWidth="1"/>
    <col min="1800" max="1801" width="8.88671875" style="2210"/>
    <col min="1802" max="1802" width="5.77734375" style="2210" customWidth="1"/>
    <col min="1803" max="1803" width="11.77734375" style="2210" customWidth="1"/>
    <col min="1804" max="1805" width="10.77734375" style="2210" customWidth="1"/>
    <col min="1806" max="1806" width="10" style="2210" customWidth="1"/>
    <col min="1807" max="1808" width="10.44140625" style="2210" bestFit="1" customWidth="1"/>
    <col min="1809" max="1809" width="10" style="2210" customWidth="1"/>
    <col min="1810" max="1810" width="10.109375" style="2210" customWidth="1"/>
    <col min="1811" max="1811" width="10" style="2210" customWidth="1"/>
    <col min="1812" max="1812" width="26.109375" style="2210" customWidth="1"/>
    <col min="1813" max="2048" width="8.88671875" style="2210"/>
    <col min="2049" max="2049" width="9.44140625" style="2210" customWidth="1"/>
    <col min="2050" max="2050" width="8.88671875" style="2210"/>
    <col min="2051" max="2053" width="12.88671875" style="2210" customWidth="1"/>
    <col min="2054" max="2054" width="47.44140625" style="2210" customWidth="1"/>
    <col min="2055" max="2055" width="13" style="2210" customWidth="1"/>
    <col min="2056" max="2057" width="8.88671875" style="2210"/>
    <col min="2058" max="2058" width="5.77734375" style="2210" customWidth="1"/>
    <col min="2059" max="2059" width="11.77734375" style="2210" customWidth="1"/>
    <col min="2060" max="2061" width="10.77734375" style="2210" customWidth="1"/>
    <col min="2062" max="2062" width="10" style="2210" customWidth="1"/>
    <col min="2063" max="2064" width="10.44140625" style="2210" bestFit="1" customWidth="1"/>
    <col min="2065" max="2065" width="10" style="2210" customWidth="1"/>
    <col min="2066" max="2066" width="10.109375" style="2210" customWidth="1"/>
    <col min="2067" max="2067" width="10" style="2210" customWidth="1"/>
    <col min="2068" max="2068" width="26.109375" style="2210" customWidth="1"/>
    <col min="2069" max="2304" width="8.88671875" style="2210"/>
    <col min="2305" max="2305" width="9.44140625" style="2210" customWidth="1"/>
    <col min="2306" max="2306" width="8.88671875" style="2210"/>
    <col min="2307" max="2309" width="12.88671875" style="2210" customWidth="1"/>
    <col min="2310" max="2310" width="47.44140625" style="2210" customWidth="1"/>
    <col min="2311" max="2311" width="13" style="2210" customWidth="1"/>
    <col min="2312" max="2313" width="8.88671875" style="2210"/>
    <col min="2314" max="2314" width="5.77734375" style="2210" customWidth="1"/>
    <col min="2315" max="2315" width="11.77734375" style="2210" customWidth="1"/>
    <col min="2316" max="2317" width="10.77734375" style="2210" customWidth="1"/>
    <col min="2318" max="2318" width="10" style="2210" customWidth="1"/>
    <col min="2319" max="2320" width="10.44140625" style="2210" bestFit="1" customWidth="1"/>
    <col min="2321" max="2321" width="10" style="2210" customWidth="1"/>
    <col min="2322" max="2322" width="10.109375" style="2210" customWidth="1"/>
    <col min="2323" max="2323" width="10" style="2210" customWidth="1"/>
    <col min="2324" max="2324" width="26.109375" style="2210" customWidth="1"/>
    <col min="2325" max="2560" width="8.88671875" style="2210"/>
    <col min="2561" max="2561" width="9.44140625" style="2210" customWidth="1"/>
    <col min="2562" max="2562" width="8.88671875" style="2210"/>
    <col min="2563" max="2565" width="12.88671875" style="2210" customWidth="1"/>
    <col min="2566" max="2566" width="47.44140625" style="2210" customWidth="1"/>
    <col min="2567" max="2567" width="13" style="2210" customWidth="1"/>
    <col min="2568" max="2569" width="8.88671875" style="2210"/>
    <col min="2570" max="2570" width="5.77734375" style="2210" customWidth="1"/>
    <col min="2571" max="2571" width="11.77734375" style="2210" customWidth="1"/>
    <col min="2572" max="2573" width="10.77734375" style="2210" customWidth="1"/>
    <col min="2574" max="2574" width="10" style="2210" customWidth="1"/>
    <col min="2575" max="2576" width="10.44140625" style="2210" bestFit="1" customWidth="1"/>
    <col min="2577" max="2577" width="10" style="2210" customWidth="1"/>
    <col min="2578" max="2578" width="10.109375" style="2210" customWidth="1"/>
    <col min="2579" max="2579" width="10" style="2210" customWidth="1"/>
    <col min="2580" max="2580" width="26.109375" style="2210" customWidth="1"/>
    <col min="2581" max="2816" width="8.88671875" style="2210"/>
    <col min="2817" max="2817" width="9.44140625" style="2210" customWidth="1"/>
    <col min="2818" max="2818" width="8.88671875" style="2210"/>
    <col min="2819" max="2821" width="12.88671875" style="2210" customWidth="1"/>
    <col min="2822" max="2822" width="47.44140625" style="2210" customWidth="1"/>
    <col min="2823" max="2823" width="13" style="2210" customWidth="1"/>
    <col min="2824" max="2825" width="8.88671875" style="2210"/>
    <col min="2826" max="2826" width="5.77734375" style="2210" customWidth="1"/>
    <col min="2827" max="2827" width="11.77734375" style="2210" customWidth="1"/>
    <col min="2828" max="2829" width="10.77734375" style="2210" customWidth="1"/>
    <col min="2830" max="2830" width="10" style="2210" customWidth="1"/>
    <col min="2831" max="2832" width="10.44140625" style="2210" bestFit="1" customWidth="1"/>
    <col min="2833" max="2833" width="10" style="2210" customWidth="1"/>
    <col min="2834" max="2834" width="10.109375" style="2210" customWidth="1"/>
    <col min="2835" max="2835" width="10" style="2210" customWidth="1"/>
    <col min="2836" max="2836" width="26.109375" style="2210" customWidth="1"/>
    <col min="2837" max="3072" width="8.88671875" style="2210"/>
    <col min="3073" max="3073" width="9.44140625" style="2210" customWidth="1"/>
    <col min="3074" max="3074" width="8.88671875" style="2210"/>
    <col min="3075" max="3077" width="12.88671875" style="2210" customWidth="1"/>
    <col min="3078" max="3078" width="47.44140625" style="2210" customWidth="1"/>
    <col min="3079" max="3079" width="13" style="2210" customWidth="1"/>
    <col min="3080" max="3081" width="8.88671875" style="2210"/>
    <col min="3082" max="3082" width="5.77734375" style="2210" customWidth="1"/>
    <col min="3083" max="3083" width="11.77734375" style="2210" customWidth="1"/>
    <col min="3084" max="3085" width="10.77734375" style="2210" customWidth="1"/>
    <col min="3086" max="3086" width="10" style="2210" customWidth="1"/>
    <col min="3087" max="3088" width="10.44140625" style="2210" bestFit="1" customWidth="1"/>
    <col min="3089" max="3089" width="10" style="2210" customWidth="1"/>
    <col min="3090" max="3090" width="10.109375" style="2210" customWidth="1"/>
    <col min="3091" max="3091" width="10" style="2210" customWidth="1"/>
    <col min="3092" max="3092" width="26.109375" style="2210" customWidth="1"/>
    <col min="3093" max="3328" width="8.88671875" style="2210"/>
    <col min="3329" max="3329" width="9.44140625" style="2210" customWidth="1"/>
    <col min="3330" max="3330" width="8.88671875" style="2210"/>
    <col min="3331" max="3333" width="12.88671875" style="2210" customWidth="1"/>
    <col min="3334" max="3334" width="47.44140625" style="2210" customWidth="1"/>
    <col min="3335" max="3335" width="13" style="2210" customWidth="1"/>
    <col min="3336" max="3337" width="8.88671875" style="2210"/>
    <col min="3338" max="3338" width="5.77734375" style="2210" customWidth="1"/>
    <col min="3339" max="3339" width="11.77734375" style="2210" customWidth="1"/>
    <col min="3340" max="3341" width="10.77734375" style="2210" customWidth="1"/>
    <col min="3342" max="3342" width="10" style="2210" customWidth="1"/>
    <col min="3343" max="3344" width="10.44140625" style="2210" bestFit="1" customWidth="1"/>
    <col min="3345" max="3345" width="10" style="2210" customWidth="1"/>
    <col min="3346" max="3346" width="10.109375" style="2210" customWidth="1"/>
    <col min="3347" max="3347" width="10" style="2210" customWidth="1"/>
    <col min="3348" max="3348" width="26.109375" style="2210" customWidth="1"/>
    <col min="3349" max="3584" width="8.88671875" style="2210"/>
    <col min="3585" max="3585" width="9.44140625" style="2210" customWidth="1"/>
    <col min="3586" max="3586" width="8.88671875" style="2210"/>
    <col min="3587" max="3589" width="12.88671875" style="2210" customWidth="1"/>
    <col min="3590" max="3590" width="47.44140625" style="2210" customWidth="1"/>
    <col min="3591" max="3591" width="13" style="2210" customWidth="1"/>
    <col min="3592" max="3593" width="8.88671875" style="2210"/>
    <col min="3594" max="3594" width="5.77734375" style="2210" customWidth="1"/>
    <col min="3595" max="3595" width="11.77734375" style="2210" customWidth="1"/>
    <col min="3596" max="3597" width="10.77734375" style="2210" customWidth="1"/>
    <col min="3598" max="3598" width="10" style="2210" customWidth="1"/>
    <col min="3599" max="3600" width="10.44140625" style="2210" bestFit="1" customWidth="1"/>
    <col min="3601" max="3601" width="10" style="2210" customWidth="1"/>
    <col min="3602" max="3602" width="10.109375" style="2210" customWidth="1"/>
    <col min="3603" max="3603" width="10" style="2210" customWidth="1"/>
    <col min="3604" max="3604" width="26.109375" style="2210" customWidth="1"/>
    <col min="3605" max="3840" width="8.88671875" style="2210"/>
    <col min="3841" max="3841" width="9.44140625" style="2210" customWidth="1"/>
    <col min="3842" max="3842" width="8.88671875" style="2210"/>
    <col min="3843" max="3845" width="12.88671875" style="2210" customWidth="1"/>
    <col min="3846" max="3846" width="47.44140625" style="2210" customWidth="1"/>
    <col min="3847" max="3847" width="13" style="2210" customWidth="1"/>
    <col min="3848" max="3849" width="8.88671875" style="2210"/>
    <col min="3850" max="3850" width="5.77734375" style="2210" customWidth="1"/>
    <col min="3851" max="3851" width="11.77734375" style="2210" customWidth="1"/>
    <col min="3852" max="3853" width="10.77734375" style="2210" customWidth="1"/>
    <col min="3854" max="3854" width="10" style="2210" customWidth="1"/>
    <col min="3855" max="3856" width="10.44140625" style="2210" bestFit="1" customWidth="1"/>
    <col min="3857" max="3857" width="10" style="2210" customWidth="1"/>
    <col min="3858" max="3858" width="10.109375" style="2210" customWidth="1"/>
    <col min="3859" max="3859" width="10" style="2210" customWidth="1"/>
    <col min="3860" max="3860" width="26.109375" style="2210" customWidth="1"/>
    <col min="3861" max="4096" width="8.88671875" style="2210"/>
    <col min="4097" max="4097" width="9.44140625" style="2210" customWidth="1"/>
    <col min="4098" max="4098" width="8.88671875" style="2210"/>
    <col min="4099" max="4101" width="12.88671875" style="2210" customWidth="1"/>
    <col min="4102" max="4102" width="47.44140625" style="2210" customWidth="1"/>
    <col min="4103" max="4103" width="13" style="2210" customWidth="1"/>
    <col min="4104" max="4105" width="8.88671875" style="2210"/>
    <col min="4106" max="4106" width="5.77734375" style="2210" customWidth="1"/>
    <col min="4107" max="4107" width="11.77734375" style="2210" customWidth="1"/>
    <col min="4108" max="4109" width="10.77734375" style="2210" customWidth="1"/>
    <col min="4110" max="4110" width="10" style="2210" customWidth="1"/>
    <col min="4111" max="4112" width="10.44140625" style="2210" bestFit="1" customWidth="1"/>
    <col min="4113" max="4113" width="10" style="2210" customWidth="1"/>
    <col min="4114" max="4114" width="10.109375" style="2210" customWidth="1"/>
    <col min="4115" max="4115" width="10" style="2210" customWidth="1"/>
    <col min="4116" max="4116" width="26.109375" style="2210" customWidth="1"/>
    <col min="4117" max="4352" width="8.88671875" style="2210"/>
    <col min="4353" max="4353" width="9.44140625" style="2210" customWidth="1"/>
    <col min="4354" max="4354" width="8.88671875" style="2210"/>
    <col min="4355" max="4357" width="12.88671875" style="2210" customWidth="1"/>
    <col min="4358" max="4358" width="47.44140625" style="2210" customWidth="1"/>
    <col min="4359" max="4359" width="13" style="2210" customWidth="1"/>
    <col min="4360" max="4361" width="8.88671875" style="2210"/>
    <col min="4362" max="4362" width="5.77734375" style="2210" customWidth="1"/>
    <col min="4363" max="4363" width="11.77734375" style="2210" customWidth="1"/>
    <col min="4364" max="4365" width="10.77734375" style="2210" customWidth="1"/>
    <col min="4366" max="4366" width="10" style="2210" customWidth="1"/>
    <col min="4367" max="4368" width="10.44140625" style="2210" bestFit="1" customWidth="1"/>
    <col min="4369" max="4369" width="10" style="2210" customWidth="1"/>
    <col min="4370" max="4370" width="10.109375" style="2210" customWidth="1"/>
    <col min="4371" max="4371" width="10" style="2210" customWidth="1"/>
    <col min="4372" max="4372" width="26.109375" style="2210" customWidth="1"/>
    <col min="4373" max="4608" width="8.88671875" style="2210"/>
    <col min="4609" max="4609" width="9.44140625" style="2210" customWidth="1"/>
    <col min="4610" max="4610" width="8.88671875" style="2210"/>
    <col min="4611" max="4613" width="12.88671875" style="2210" customWidth="1"/>
    <col min="4614" max="4614" width="47.44140625" style="2210" customWidth="1"/>
    <col min="4615" max="4615" width="13" style="2210" customWidth="1"/>
    <col min="4616" max="4617" width="8.88671875" style="2210"/>
    <col min="4618" max="4618" width="5.77734375" style="2210" customWidth="1"/>
    <col min="4619" max="4619" width="11.77734375" style="2210" customWidth="1"/>
    <col min="4620" max="4621" width="10.77734375" style="2210" customWidth="1"/>
    <col min="4622" max="4622" width="10" style="2210" customWidth="1"/>
    <col min="4623" max="4624" width="10.44140625" style="2210" bestFit="1" customWidth="1"/>
    <col min="4625" max="4625" width="10" style="2210" customWidth="1"/>
    <col min="4626" max="4626" width="10.109375" style="2210" customWidth="1"/>
    <col min="4627" max="4627" width="10" style="2210" customWidth="1"/>
    <col min="4628" max="4628" width="26.109375" style="2210" customWidth="1"/>
    <col min="4629" max="4864" width="8.88671875" style="2210"/>
    <col min="4865" max="4865" width="9.44140625" style="2210" customWidth="1"/>
    <col min="4866" max="4866" width="8.88671875" style="2210"/>
    <col min="4867" max="4869" width="12.88671875" style="2210" customWidth="1"/>
    <col min="4870" max="4870" width="47.44140625" style="2210" customWidth="1"/>
    <col min="4871" max="4871" width="13" style="2210" customWidth="1"/>
    <col min="4872" max="4873" width="8.88671875" style="2210"/>
    <col min="4874" max="4874" width="5.77734375" style="2210" customWidth="1"/>
    <col min="4875" max="4875" width="11.77734375" style="2210" customWidth="1"/>
    <col min="4876" max="4877" width="10.77734375" style="2210" customWidth="1"/>
    <col min="4878" max="4878" width="10" style="2210" customWidth="1"/>
    <col min="4879" max="4880" width="10.44140625" style="2210" bestFit="1" customWidth="1"/>
    <col min="4881" max="4881" width="10" style="2210" customWidth="1"/>
    <col min="4882" max="4882" width="10.109375" style="2210" customWidth="1"/>
    <col min="4883" max="4883" width="10" style="2210" customWidth="1"/>
    <col min="4884" max="4884" width="26.109375" style="2210" customWidth="1"/>
    <col min="4885" max="5120" width="8.88671875" style="2210"/>
    <col min="5121" max="5121" width="9.44140625" style="2210" customWidth="1"/>
    <col min="5122" max="5122" width="8.88671875" style="2210"/>
    <col min="5123" max="5125" width="12.88671875" style="2210" customWidth="1"/>
    <col min="5126" max="5126" width="47.44140625" style="2210" customWidth="1"/>
    <col min="5127" max="5127" width="13" style="2210" customWidth="1"/>
    <col min="5128" max="5129" width="8.88671875" style="2210"/>
    <col min="5130" max="5130" width="5.77734375" style="2210" customWidth="1"/>
    <col min="5131" max="5131" width="11.77734375" style="2210" customWidth="1"/>
    <col min="5132" max="5133" width="10.77734375" style="2210" customWidth="1"/>
    <col min="5134" max="5134" width="10" style="2210" customWidth="1"/>
    <col min="5135" max="5136" width="10.44140625" style="2210" bestFit="1" customWidth="1"/>
    <col min="5137" max="5137" width="10" style="2210" customWidth="1"/>
    <col min="5138" max="5138" width="10.109375" style="2210" customWidth="1"/>
    <col min="5139" max="5139" width="10" style="2210" customWidth="1"/>
    <col min="5140" max="5140" width="26.109375" style="2210" customWidth="1"/>
    <col min="5141" max="5376" width="8.88671875" style="2210"/>
    <col min="5377" max="5377" width="9.44140625" style="2210" customWidth="1"/>
    <col min="5378" max="5378" width="8.88671875" style="2210"/>
    <col min="5379" max="5381" width="12.88671875" style="2210" customWidth="1"/>
    <col min="5382" max="5382" width="47.44140625" style="2210" customWidth="1"/>
    <col min="5383" max="5383" width="13" style="2210" customWidth="1"/>
    <col min="5384" max="5385" width="8.88671875" style="2210"/>
    <col min="5386" max="5386" width="5.77734375" style="2210" customWidth="1"/>
    <col min="5387" max="5387" width="11.77734375" style="2210" customWidth="1"/>
    <col min="5388" max="5389" width="10.77734375" style="2210" customWidth="1"/>
    <col min="5390" max="5390" width="10" style="2210" customWidth="1"/>
    <col min="5391" max="5392" width="10.44140625" style="2210" bestFit="1" customWidth="1"/>
    <col min="5393" max="5393" width="10" style="2210" customWidth="1"/>
    <col min="5394" max="5394" width="10.109375" style="2210" customWidth="1"/>
    <col min="5395" max="5395" width="10" style="2210" customWidth="1"/>
    <col min="5396" max="5396" width="26.109375" style="2210" customWidth="1"/>
    <col min="5397" max="5632" width="8.88671875" style="2210"/>
    <col min="5633" max="5633" width="9.44140625" style="2210" customWidth="1"/>
    <col min="5634" max="5634" width="8.88671875" style="2210"/>
    <col min="5635" max="5637" width="12.88671875" style="2210" customWidth="1"/>
    <col min="5638" max="5638" width="47.44140625" style="2210" customWidth="1"/>
    <col min="5639" max="5639" width="13" style="2210" customWidth="1"/>
    <col min="5640" max="5641" width="8.88671875" style="2210"/>
    <col min="5642" max="5642" width="5.77734375" style="2210" customWidth="1"/>
    <col min="5643" max="5643" width="11.77734375" style="2210" customWidth="1"/>
    <col min="5644" max="5645" width="10.77734375" style="2210" customWidth="1"/>
    <col min="5646" max="5646" width="10" style="2210" customWidth="1"/>
    <col min="5647" max="5648" width="10.44140625" style="2210" bestFit="1" customWidth="1"/>
    <col min="5649" max="5649" width="10" style="2210" customWidth="1"/>
    <col min="5650" max="5650" width="10.109375" style="2210" customWidth="1"/>
    <col min="5651" max="5651" width="10" style="2210" customWidth="1"/>
    <col min="5652" max="5652" width="26.109375" style="2210" customWidth="1"/>
    <col min="5653" max="5888" width="8.88671875" style="2210"/>
    <col min="5889" max="5889" width="9.44140625" style="2210" customWidth="1"/>
    <col min="5890" max="5890" width="8.88671875" style="2210"/>
    <col min="5891" max="5893" width="12.88671875" style="2210" customWidth="1"/>
    <col min="5894" max="5894" width="47.44140625" style="2210" customWidth="1"/>
    <col min="5895" max="5895" width="13" style="2210" customWidth="1"/>
    <col min="5896" max="5897" width="8.88671875" style="2210"/>
    <col min="5898" max="5898" width="5.77734375" style="2210" customWidth="1"/>
    <col min="5899" max="5899" width="11.77734375" style="2210" customWidth="1"/>
    <col min="5900" max="5901" width="10.77734375" style="2210" customWidth="1"/>
    <col min="5902" max="5902" width="10" style="2210" customWidth="1"/>
    <col min="5903" max="5904" width="10.44140625" style="2210" bestFit="1" customWidth="1"/>
    <col min="5905" max="5905" width="10" style="2210" customWidth="1"/>
    <col min="5906" max="5906" width="10.109375" style="2210" customWidth="1"/>
    <col min="5907" max="5907" width="10" style="2210" customWidth="1"/>
    <col min="5908" max="5908" width="26.109375" style="2210" customWidth="1"/>
    <col min="5909" max="6144" width="8.88671875" style="2210"/>
    <col min="6145" max="6145" width="9.44140625" style="2210" customWidth="1"/>
    <col min="6146" max="6146" width="8.88671875" style="2210"/>
    <col min="6147" max="6149" width="12.88671875" style="2210" customWidth="1"/>
    <col min="6150" max="6150" width="47.44140625" style="2210" customWidth="1"/>
    <col min="6151" max="6151" width="13" style="2210" customWidth="1"/>
    <col min="6152" max="6153" width="8.88671875" style="2210"/>
    <col min="6154" max="6154" width="5.77734375" style="2210" customWidth="1"/>
    <col min="6155" max="6155" width="11.77734375" style="2210" customWidth="1"/>
    <col min="6156" max="6157" width="10.77734375" style="2210" customWidth="1"/>
    <col min="6158" max="6158" width="10" style="2210" customWidth="1"/>
    <col min="6159" max="6160" width="10.44140625" style="2210" bestFit="1" customWidth="1"/>
    <col min="6161" max="6161" width="10" style="2210" customWidth="1"/>
    <col min="6162" max="6162" width="10.109375" style="2210" customWidth="1"/>
    <col min="6163" max="6163" width="10" style="2210" customWidth="1"/>
    <col min="6164" max="6164" width="26.109375" style="2210" customWidth="1"/>
    <col min="6165" max="6400" width="8.88671875" style="2210"/>
    <col min="6401" max="6401" width="9.44140625" style="2210" customWidth="1"/>
    <col min="6402" max="6402" width="8.88671875" style="2210"/>
    <col min="6403" max="6405" width="12.88671875" style="2210" customWidth="1"/>
    <col min="6406" max="6406" width="47.44140625" style="2210" customWidth="1"/>
    <col min="6407" max="6407" width="13" style="2210" customWidth="1"/>
    <col min="6408" max="6409" width="8.88671875" style="2210"/>
    <col min="6410" max="6410" width="5.77734375" style="2210" customWidth="1"/>
    <col min="6411" max="6411" width="11.77734375" style="2210" customWidth="1"/>
    <col min="6412" max="6413" width="10.77734375" style="2210" customWidth="1"/>
    <col min="6414" max="6414" width="10" style="2210" customWidth="1"/>
    <col min="6415" max="6416" width="10.44140625" style="2210" bestFit="1" customWidth="1"/>
    <col min="6417" max="6417" width="10" style="2210" customWidth="1"/>
    <col min="6418" max="6418" width="10.109375" style="2210" customWidth="1"/>
    <col min="6419" max="6419" width="10" style="2210" customWidth="1"/>
    <col min="6420" max="6420" width="26.109375" style="2210" customWidth="1"/>
    <col min="6421" max="6656" width="8.88671875" style="2210"/>
    <col min="6657" max="6657" width="9.44140625" style="2210" customWidth="1"/>
    <col min="6658" max="6658" width="8.88671875" style="2210"/>
    <col min="6659" max="6661" width="12.88671875" style="2210" customWidth="1"/>
    <col min="6662" max="6662" width="47.44140625" style="2210" customWidth="1"/>
    <col min="6663" max="6663" width="13" style="2210" customWidth="1"/>
    <col min="6664" max="6665" width="8.88671875" style="2210"/>
    <col min="6666" max="6666" width="5.77734375" style="2210" customWidth="1"/>
    <col min="6667" max="6667" width="11.77734375" style="2210" customWidth="1"/>
    <col min="6668" max="6669" width="10.77734375" style="2210" customWidth="1"/>
    <col min="6670" max="6670" width="10" style="2210" customWidth="1"/>
    <col min="6671" max="6672" width="10.44140625" style="2210" bestFit="1" customWidth="1"/>
    <col min="6673" max="6673" width="10" style="2210" customWidth="1"/>
    <col min="6674" max="6674" width="10.109375" style="2210" customWidth="1"/>
    <col min="6675" max="6675" width="10" style="2210" customWidth="1"/>
    <col min="6676" max="6676" width="26.109375" style="2210" customWidth="1"/>
    <col min="6677" max="6912" width="8.88671875" style="2210"/>
    <col min="6913" max="6913" width="9.44140625" style="2210" customWidth="1"/>
    <col min="6914" max="6914" width="8.88671875" style="2210"/>
    <col min="6915" max="6917" width="12.88671875" style="2210" customWidth="1"/>
    <col min="6918" max="6918" width="47.44140625" style="2210" customWidth="1"/>
    <col min="6919" max="6919" width="13" style="2210" customWidth="1"/>
    <col min="6920" max="6921" width="8.88671875" style="2210"/>
    <col min="6922" max="6922" width="5.77734375" style="2210" customWidth="1"/>
    <col min="6923" max="6923" width="11.77734375" style="2210" customWidth="1"/>
    <col min="6924" max="6925" width="10.77734375" style="2210" customWidth="1"/>
    <col min="6926" max="6926" width="10" style="2210" customWidth="1"/>
    <col min="6927" max="6928" width="10.44140625" style="2210" bestFit="1" customWidth="1"/>
    <col min="6929" max="6929" width="10" style="2210" customWidth="1"/>
    <col min="6930" max="6930" width="10.109375" style="2210" customWidth="1"/>
    <col min="6931" max="6931" width="10" style="2210" customWidth="1"/>
    <col min="6932" max="6932" width="26.109375" style="2210" customWidth="1"/>
    <col min="6933" max="7168" width="8.88671875" style="2210"/>
    <col min="7169" max="7169" width="9.44140625" style="2210" customWidth="1"/>
    <col min="7170" max="7170" width="8.88671875" style="2210"/>
    <col min="7171" max="7173" width="12.88671875" style="2210" customWidth="1"/>
    <col min="7174" max="7174" width="47.44140625" style="2210" customWidth="1"/>
    <col min="7175" max="7175" width="13" style="2210" customWidth="1"/>
    <col min="7176" max="7177" width="8.88671875" style="2210"/>
    <col min="7178" max="7178" width="5.77734375" style="2210" customWidth="1"/>
    <col min="7179" max="7179" width="11.77734375" style="2210" customWidth="1"/>
    <col min="7180" max="7181" width="10.77734375" style="2210" customWidth="1"/>
    <col min="7182" max="7182" width="10" style="2210" customWidth="1"/>
    <col min="7183" max="7184" width="10.44140625" style="2210" bestFit="1" customWidth="1"/>
    <col min="7185" max="7185" width="10" style="2210" customWidth="1"/>
    <col min="7186" max="7186" width="10.109375" style="2210" customWidth="1"/>
    <col min="7187" max="7187" width="10" style="2210" customWidth="1"/>
    <col min="7188" max="7188" width="26.109375" style="2210" customWidth="1"/>
    <col min="7189" max="7424" width="8.88671875" style="2210"/>
    <col min="7425" max="7425" width="9.44140625" style="2210" customWidth="1"/>
    <col min="7426" max="7426" width="8.88671875" style="2210"/>
    <col min="7427" max="7429" width="12.88671875" style="2210" customWidth="1"/>
    <col min="7430" max="7430" width="47.44140625" style="2210" customWidth="1"/>
    <col min="7431" max="7431" width="13" style="2210" customWidth="1"/>
    <col min="7432" max="7433" width="8.88671875" style="2210"/>
    <col min="7434" max="7434" width="5.77734375" style="2210" customWidth="1"/>
    <col min="7435" max="7435" width="11.77734375" style="2210" customWidth="1"/>
    <col min="7436" max="7437" width="10.77734375" style="2210" customWidth="1"/>
    <col min="7438" max="7438" width="10" style="2210" customWidth="1"/>
    <col min="7439" max="7440" width="10.44140625" style="2210" bestFit="1" customWidth="1"/>
    <col min="7441" max="7441" width="10" style="2210" customWidth="1"/>
    <col min="7442" max="7442" width="10.109375" style="2210" customWidth="1"/>
    <col min="7443" max="7443" width="10" style="2210" customWidth="1"/>
    <col min="7444" max="7444" width="26.109375" style="2210" customWidth="1"/>
    <col min="7445" max="7680" width="8.88671875" style="2210"/>
    <col min="7681" max="7681" width="9.44140625" style="2210" customWidth="1"/>
    <col min="7682" max="7682" width="8.88671875" style="2210"/>
    <col min="7683" max="7685" width="12.88671875" style="2210" customWidth="1"/>
    <col min="7686" max="7686" width="47.44140625" style="2210" customWidth="1"/>
    <col min="7687" max="7687" width="13" style="2210" customWidth="1"/>
    <col min="7688" max="7689" width="8.88671875" style="2210"/>
    <col min="7690" max="7690" width="5.77734375" style="2210" customWidth="1"/>
    <col min="7691" max="7691" width="11.77734375" style="2210" customWidth="1"/>
    <col min="7692" max="7693" width="10.77734375" style="2210" customWidth="1"/>
    <col min="7694" max="7694" width="10" style="2210" customWidth="1"/>
    <col min="7695" max="7696" width="10.44140625" style="2210" bestFit="1" customWidth="1"/>
    <col min="7697" max="7697" width="10" style="2210" customWidth="1"/>
    <col min="7698" max="7698" width="10.109375" style="2210" customWidth="1"/>
    <col min="7699" max="7699" width="10" style="2210" customWidth="1"/>
    <col min="7700" max="7700" width="26.109375" style="2210" customWidth="1"/>
    <col min="7701" max="7936" width="8.88671875" style="2210"/>
    <col min="7937" max="7937" width="9.44140625" style="2210" customWidth="1"/>
    <col min="7938" max="7938" width="8.88671875" style="2210"/>
    <col min="7939" max="7941" width="12.88671875" style="2210" customWidth="1"/>
    <col min="7942" max="7942" width="47.44140625" style="2210" customWidth="1"/>
    <col min="7943" max="7943" width="13" style="2210" customWidth="1"/>
    <col min="7944" max="7945" width="8.88671875" style="2210"/>
    <col min="7946" max="7946" width="5.77734375" style="2210" customWidth="1"/>
    <col min="7947" max="7947" width="11.77734375" style="2210" customWidth="1"/>
    <col min="7948" max="7949" width="10.77734375" style="2210" customWidth="1"/>
    <col min="7950" max="7950" width="10" style="2210" customWidth="1"/>
    <col min="7951" max="7952" width="10.44140625" style="2210" bestFit="1" customWidth="1"/>
    <col min="7953" max="7953" width="10" style="2210" customWidth="1"/>
    <col min="7954" max="7954" width="10.109375" style="2210" customWidth="1"/>
    <col min="7955" max="7955" width="10" style="2210" customWidth="1"/>
    <col min="7956" max="7956" width="26.109375" style="2210" customWidth="1"/>
    <col min="7957" max="8192" width="8.88671875" style="2210"/>
    <col min="8193" max="8193" width="9.44140625" style="2210" customWidth="1"/>
    <col min="8194" max="8194" width="8.88671875" style="2210"/>
    <col min="8195" max="8197" width="12.88671875" style="2210" customWidth="1"/>
    <col min="8198" max="8198" width="47.44140625" style="2210" customWidth="1"/>
    <col min="8199" max="8199" width="13" style="2210" customWidth="1"/>
    <col min="8200" max="8201" width="8.88671875" style="2210"/>
    <col min="8202" max="8202" width="5.77734375" style="2210" customWidth="1"/>
    <col min="8203" max="8203" width="11.77734375" style="2210" customWidth="1"/>
    <col min="8204" max="8205" width="10.77734375" style="2210" customWidth="1"/>
    <col min="8206" max="8206" width="10" style="2210" customWidth="1"/>
    <col min="8207" max="8208" width="10.44140625" style="2210" bestFit="1" customWidth="1"/>
    <col min="8209" max="8209" width="10" style="2210" customWidth="1"/>
    <col min="8210" max="8210" width="10.109375" style="2210" customWidth="1"/>
    <col min="8211" max="8211" width="10" style="2210" customWidth="1"/>
    <col min="8212" max="8212" width="26.109375" style="2210" customWidth="1"/>
    <col min="8213" max="8448" width="8.88671875" style="2210"/>
    <col min="8449" max="8449" width="9.44140625" style="2210" customWidth="1"/>
    <col min="8450" max="8450" width="8.88671875" style="2210"/>
    <col min="8451" max="8453" width="12.88671875" style="2210" customWidth="1"/>
    <col min="8454" max="8454" width="47.44140625" style="2210" customWidth="1"/>
    <col min="8455" max="8455" width="13" style="2210" customWidth="1"/>
    <col min="8456" max="8457" width="8.88671875" style="2210"/>
    <col min="8458" max="8458" width="5.77734375" style="2210" customWidth="1"/>
    <col min="8459" max="8459" width="11.77734375" style="2210" customWidth="1"/>
    <col min="8460" max="8461" width="10.77734375" style="2210" customWidth="1"/>
    <col min="8462" max="8462" width="10" style="2210" customWidth="1"/>
    <col min="8463" max="8464" width="10.44140625" style="2210" bestFit="1" customWidth="1"/>
    <col min="8465" max="8465" width="10" style="2210" customWidth="1"/>
    <col min="8466" max="8466" width="10.109375" style="2210" customWidth="1"/>
    <col min="8467" max="8467" width="10" style="2210" customWidth="1"/>
    <col min="8468" max="8468" width="26.109375" style="2210" customWidth="1"/>
    <col min="8469" max="8704" width="8.88671875" style="2210"/>
    <col min="8705" max="8705" width="9.44140625" style="2210" customWidth="1"/>
    <col min="8706" max="8706" width="8.88671875" style="2210"/>
    <col min="8707" max="8709" width="12.88671875" style="2210" customWidth="1"/>
    <col min="8710" max="8710" width="47.44140625" style="2210" customWidth="1"/>
    <col min="8711" max="8711" width="13" style="2210" customWidth="1"/>
    <col min="8712" max="8713" width="8.88671875" style="2210"/>
    <col min="8714" max="8714" width="5.77734375" style="2210" customWidth="1"/>
    <col min="8715" max="8715" width="11.77734375" style="2210" customWidth="1"/>
    <col min="8716" max="8717" width="10.77734375" style="2210" customWidth="1"/>
    <col min="8718" max="8718" width="10" style="2210" customWidth="1"/>
    <col min="8719" max="8720" width="10.44140625" style="2210" bestFit="1" customWidth="1"/>
    <col min="8721" max="8721" width="10" style="2210" customWidth="1"/>
    <col min="8722" max="8722" width="10.109375" style="2210" customWidth="1"/>
    <col min="8723" max="8723" width="10" style="2210" customWidth="1"/>
    <col min="8724" max="8724" width="26.109375" style="2210" customWidth="1"/>
    <col min="8725" max="8960" width="8.88671875" style="2210"/>
    <col min="8961" max="8961" width="9.44140625" style="2210" customWidth="1"/>
    <col min="8962" max="8962" width="8.88671875" style="2210"/>
    <col min="8963" max="8965" width="12.88671875" style="2210" customWidth="1"/>
    <col min="8966" max="8966" width="47.44140625" style="2210" customWidth="1"/>
    <col min="8967" max="8967" width="13" style="2210" customWidth="1"/>
    <col min="8968" max="8969" width="8.88671875" style="2210"/>
    <col min="8970" max="8970" width="5.77734375" style="2210" customWidth="1"/>
    <col min="8971" max="8971" width="11.77734375" style="2210" customWidth="1"/>
    <col min="8972" max="8973" width="10.77734375" style="2210" customWidth="1"/>
    <col min="8974" max="8974" width="10" style="2210" customWidth="1"/>
    <col min="8975" max="8976" width="10.44140625" style="2210" bestFit="1" customWidth="1"/>
    <col min="8977" max="8977" width="10" style="2210" customWidth="1"/>
    <col min="8978" max="8978" width="10.109375" style="2210" customWidth="1"/>
    <col min="8979" max="8979" width="10" style="2210" customWidth="1"/>
    <col min="8980" max="8980" width="26.109375" style="2210" customWidth="1"/>
    <col min="8981" max="9216" width="8.88671875" style="2210"/>
    <col min="9217" max="9217" width="9.44140625" style="2210" customWidth="1"/>
    <col min="9218" max="9218" width="8.88671875" style="2210"/>
    <col min="9219" max="9221" width="12.88671875" style="2210" customWidth="1"/>
    <col min="9222" max="9222" width="47.44140625" style="2210" customWidth="1"/>
    <col min="9223" max="9223" width="13" style="2210" customWidth="1"/>
    <col min="9224" max="9225" width="8.88671875" style="2210"/>
    <col min="9226" max="9226" width="5.77734375" style="2210" customWidth="1"/>
    <col min="9227" max="9227" width="11.77734375" style="2210" customWidth="1"/>
    <col min="9228" max="9229" width="10.77734375" style="2210" customWidth="1"/>
    <col min="9230" max="9230" width="10" style="2210" customWidth="1"/>
    <col min="9231" max="9232" width="10.44140625" style="2210" bestFit="1" customWidth="1"/>
    <col min="9233" max="9233" width="10" style="2210" customWidth="1"/>
    <col min="9234" max="9234" width="10.109375" style="2210" customWidth="1"/>
    <col min="9235" max="9235" width="10" style="2210" customWidth="1"/>
    <col min="9236" max="9236" width="26.109375" style="2210" customWidth="1"/>
    <col min="9237" max="9472" width="8.88671875" style="2210"/>
    <col min="9473" max="9473" width="9.44140625" style="2210" customWidth="1"/>
    <col min="9474" max="9474" width="8.88671875" style="2210"/>
    <col min="9475" max="9477" width="12.88671875" style="2210" customWidth="1"/>
    <col min="9478" max="9478" width="47.44140625" style="2210" customWidth="1"/>
    <col min="9479" max="9479" width="13" style="2210" customWidth="1"/>
    <col min="9480" max="9481" width="8.88671875" style="2210"/>
    <col min="9482" max="9482" width="5.77734375" style="2210" customWidth="1"/>
    <col min="9483" max="9483" width="11.77734375" style="2210" customWidth="1"/>
    <col min="9484" max="9485" width="10.77734375" style="2210" customWidth="1"/>
    <col min="9486" max="9486" width="10" style="2210" customWidth="1"/>
    <col min="9487" max="9488" width="10.44140625" style="2210" bestFit="1" customWidth="1"/>
    <col min="9489" max="9489" width="10" style="2210" customWidth="1"/>
    <col min="9490" max="9490" width="10.109375" style="2210" customWidth="1"/>
    <col min="9491" max="9491" width="10" style="2210" customWidth="1"/>
    <col min="9492" max="9492" width="26.109375" style="2210" customWidth="1"/>
    <col min="9493" max="9728" width="8.88671875" style="2210"/>
    <col min="9729" max="9729" width="9.44140625" style="2210" customWidth="1"/>
    <col min="9730" max="9730" width="8.88671875" style="2210"/>
    <col min="9731" max="9733" width="12.88671875" style="2210" customWidth="1"/>
    <col min="9734" max="9734" width="47.44140625" style="2210" customWidth="1"/>
    <col min="9735" max="9735" width="13" style="2210" customWidth="1"/>
    <col min="9736" max="9737" width="8.88671875" style="2210"/>
    <col min="9738" max="9738" width="5.77734375" style="2210" customWidth="1"/>
    <col min="9739" max="9739" width="11.77734375" style="2210" customWidth="1"/>
    <col min="9740" max="9741" width="10.77734375" style="2210" customWidth="1"/>
    <col min="9742" max="9742" width="10" style="2210" customWidth="1"/>
    <col min="9743" max="9744" width="10.44140625" style="2210" bestFit="1" customWidth="1"/>
    <col min="9745" max="9745" width="10" style="2210" customWidth="1"/>
    <col min="9746" max="9746" width="10.109375" style="2210" customWidth="1"/>
    <col min="9747" max="9747" width="10" style="2210" customWidth="1"/>
    <col min="9748" max="9748" width="26.109375" style="2210" customWidth="1"/>
    <col min="9749" max="9984" width="8.88671875" style="2210"/>
    <col min="9985" max="9985" width="9.44140625" style="2210" customWidth="1"/>
    <col min="9986" max="9986" width="8.88671875" style="2210"/>
    <col min="9987" max="9989" width="12.88671875" style="2210" customWidth="1"/>
    <col min="9990" max="9990" width="47.44140625" style="2210" customWidth="1"/>
    <col min="9991" max="9991" width="13" style="2210" customWidth="1"/>
    <col min="9992" max="9993" width="8.88671875" style="2210"/>
    <col min="9994" max="9994" width="5.77734375" style="2210" customWidth="1"/>
    <col min="9995" max="9995" width="11.77734375" style="2210" customWidth="1"/>
    <col min="9996" max="9997" width="10.77734375" style="2210" customWidth="1"/>
    <col min="9998" max="9998" width="10" style="2210" customWidth="1"/>
    <col min="9999" max="10000" width="10.44140625" style="2210" bestFit="1" customWidth="1"/>
    <col min="10001" max="10001" width="10" style="2210" customWidth="1"/>
    <col min="10002" max="10002" width="10.109375" style="2210" customWidth="1"/>
    <col min="10003" max="10003" width="10" style="2210" customWidth="1"/>
    <col min="10004" max="10004" width="26.109375" style="2210" customWidth="1"/>
    <col min="10005" max="10240" width="8.88671875" style="2210"/>
    <col min="10241" max="10241" width="9.44140625" style="2210" customWidth="1"/>
    <col min="10242" max="10242" width="8.88671875" style="2210"/>
    <col min="10243" max="10245" width="12.88671875" style="2210" customWidth="1"/>
    <col min="10246" max="10246" width="47.44140625" style="2210" customWidth="1"/>
    <col min="10247" max="10247" width="13" style="2210" customWidth="1"/>
    <col min="10248" max="10249" width="8.88671875" style="2210"/>
    <col min="10250" max="10250" width="5.77734375" style="2210" customWidth="1"/>
    <col min="10251" max="10251" width="11.77734375" style="2210" customWidth="1"/>
    <col min="10252" max="10253" width="10.77734375" style="2210" customWidth="1"/>
    <col min="10254" max="10254" width="10" style="2210" customWidth="1"/>
    <col min="10255" max="10256" width="10.44140625" style="2210" bestFit="1" customWidth="1"/>
    <col min="10257" max="10257" width="10" style="2210" customWidth="1"/>
    <col min="10258" max="10258" width="10.109375" style="2210" customWidth="1"/>
    <col min="10259" max="10259" width="10" style="2210" customWidth="1"/>
    <col min="10260" max="10260" width="26.109375" style="2210" customWidth="1"/>
    <col min="10261" max="10496" width="8.88671875" style="2210"/>
    <col min="10497" max="10497" width="9.44140625" style="2210" customWidth="1"/>
    <col min="10498" max="10498" width="8.88671875" style="2210"/>
    <col min="10499" max="10501" width="12.88671875" style="2210" customWidth="1"/>
    <col min="10502" max="10502" width="47.44140625" style="2210" customWidth="1"/>
    <col min="10503" max="10503" width="13" style="2210" customWidth="1"/>
    <col min="10504" max="10505" width="8.88671875" style="2210"/>
    <col min="10506" max="10506" width="5.77734375" style="2210" customWidth="1"/>
    <col min="10507" max="10507" width="11.77734375" style="2210" customWidth="1"/>
    <col min="10508" max="10509" width="10.77734375" style="2210" customWidth="1"/>
    <col min="10510" max="10510" width="10" style="2210" customWidth="1"/>
    <col min="10511" max="10512" width="10.44140625" style="2210" bestFit="1" customWidth="1"/>
    <col min="10513" max="10513" width="10" style="2210" customWidth="1"/>
    <col min="10514" max="10514" width="10.109375" style="2210" customWidth="1"/>
    <col min="10515" max="10515" width="10" style="2210" customWidth="1"/>
    <col min="10516" max="10516" width="26.109375" style="2210" customWidth="1"/>
    <col min="10517" max="10752" width="8.88671875" style="2210"/>
    <col min="10753" max="10753" width="9.44140625" style="2210" customWidth="1"/>
    <col min="10754" max="10754" width="8.88671875" style="2210"/>
    <col min="10755" max="10757" width="12.88671875" style="2210" customWidth="1"/>
    <col min="10758" max="10758" width="47.44140625" style="2210" customWidth="1"/>
    <col min="10759" max="10759" width="13" style="2210" customWidth="1"/>
    <col min="10760" max="10761" width="8.88671875" style="2210"/>
    <col min="10762" max="10762" width="5.77734375" style="2210" customWidth="1"/>
    <col min="10763" max="10763" width="11.77734375" style="2210" customWidth="1"/>
    <col min="10764" max="10765" width="10.77734375" style="2210" customWidth="1"/>
    <col min="10766" max="10766" width="10" style="2210" customWidth="1"/>
    <col min="10767" max="10768" width="10.44140625" style="2210" bestFit="1" customWidth="1"/>
    <col min="10769" max="10769" width="10" style="2210" customWidth="1"/>
    <col min="10770" max="10770" width="10.109375" style="2210" customWidth="1"/>
    <col min="10771" max="10771" width="10" style="2210" customWidth="1"/>
    <col min="10772" max="10772" width="26.109375" style="2210" customWidth="1"/>
    <col min="10773" max="11008" width="8.88671875" style="2210"/>
    <col min="11009" max="11009" width="9.44140625" style="2210" customWidth="1"/>
    <col min="11010" max="11010" width="8.88671875" style="2210"/>
    <col min="11011" max="11013" width="12.88671875" style="2210" customWidth="1"/>
    <col min="11014" max="11014" width="47.44140625" style="2210" customWidth="1"/>
    <col min="11015" max="11015" width="13" style="2210" customWidth="1"/>
    <col min="11016" max="11017" width="8.88671875" style="2210"/>
    <col min="11018" max="11018" width="5.77734375" style="2210" customWidth="1"/>
    <col min="11019" max="11019" width="11.77734375" style="2210" customWidth="1"/>
    <col min="11020" max="11021" width="10.77734375" style="2210" customWidth="1"/>
    <col min="11022" max="11022" width="10" style="2210" customWidth="1"/>
    <col min="11023" max="11024" width="10.44140625" style="2210" bestFit="1" customWidth="1"/>
    <col min="11025" max="11025" width="10" style="2210" customWidth="1"/>
    <col min="11026" max="11026" width="10.109375" style="2210" customWidth="1"/>
    <col min="11027" max="11027" width="10" style="2210" customWidth="1"/>
    <col min="11028" max="11028" width="26.109375" style="2210" customWidth="1"/>
    <col min="11029" max="11264" width="8.88671875" style="2210"/>
    <col min="11265" max="11265" width="9.44140625" style="2210" customWidth="1"/>
    <col min="11266" max="11266" width="8.88671875" style="2210"/>
    <col min="11267" max="11269" width="12.88671875" style="2210" customWidth="1"/>
    <col min="11270" max="11270" width="47.44140625" style="2210" customWidth="1"/>
    <col min="11271" max="11271" width="13" style="2210" customWidth="1"/>
    <col min="11272" max="11273" width="8.88671875" style="2210"/>
    <col min="11274" max="11274" width="5.77734375" style="2210" customWidth="1"/>
    <col min="11275" max="11275" width="11.77734375" style="2210" customWidth="1"/>
    <col min="11276" max="11277" width="10.77734375" style="2210" customWidth="1"/>
    <col min="11278" max="11278" width="10" style="2210" customWidth="1"/>
    <col min="11279" max="11280" width="10.44140625" style="2210" bestFit="1" customWidth="1"/>
    <col min="11281" max="11281" width="10" style="2210" customWidth="1"/>
    <col min="11282" max="11282" width="10.109375" style="2210" customWidth="1"/>
    <col min="11283" max="11283" width="10" style="2210" customWidth="1"/>
    <col min="11284" max="11284" width="26.109375" style="2210" customWidth="1"/>
    <col min="11285" max="11520" width="8.88671875" style="2210"/>
    <col min="11521" max="11521" width="9.44140625" style="2210" customWidth="1"/>
    <col min="11522" max="11522" width="8.88671875" style="2210"/>
    <col min="11523" max="11525" width="12.88671875" style="2210" customWidth="1"/>
    <col min="11526" max="11526" width="47.44140625" style="2210" customWidth="1"/>
    <col min="11527" max="11527" width="13" style="2210" customWidth="1"/>
    <col min="11528" max="11529" width="8.88671875" style="2210"/>
    <col min="11530" max="11530" width="5.77734375" style="2210" customWidth="1"/>
    <col min="11531" max="11531" width="11.77734375" style="2210" customWidth="1"/>
    <col min="11532" max="11533" width="10.77734375" style="2210" customWidth="1"/>
    <col min="11534" max="11534" width="10" style="2210" customWidth="1"/>
    <col min="11535" max="11536" width="10.44140625" style="2210" bestFit="1" customWidth="1"/>
    <col min="11537" max="11537" width="10" style="2210" customWidth="1"/>
    <col min="11538" max="11538" width="10.109375" style="2210" customWidth="1"/>
    <col min="11539" max="11539" width="10" style="2210" customWidth="1"/>
    <col min="11540" max="11540" width="26.109375" style="2210" customWidth="1"/>
    <col min="11541" max="11776" width="8.88671875" style="2210"/>
    <col min="11777" max="11777" width="9.44140625" style="2210" customWidth="1"/>
    <col min="11778" max="11778" width="8.88671875" style="2210"/>
    <col min="11779" max="11781" width="12.88671875" style="2210" customWidth="1"/>
    <col min="11782" max="11782" width="47.44140625" style="2210" customWidth="1"/>
    <col min="11783" max="11783" width="13" style="2210" customWidth="1"/>
    <col min="11784" max="11785" width="8.88671875" style="2210"/>
    <col min="11786" max="11786" width="5.77734375" style="2210" customWidth="1"/>
    <col min="11787" max="11787" width="11.77734375" style="2210" customWidth="1"/>
    <col min="11788" max="11789" width="10.77734375" style="2210" customWidth="1"/>
    <col min="11790" max="11790" width="10" style="2210" customWidth="1"/>
    <col min="11791" max="11792" width="10.44140625" style="2210" bestFit="1" customWidth="1"/>
    <col min="11793" max="11793" width="10" style="2210" customWidth="1"/>
    <col min="11794" max="11794" width="10.109375" style="2210" customWidth="1"/>
    <col min="11795" max="11795" width="10" style="2210" customWidth="1"/>
    <col min="11796" max="11796" width="26.109375" style="2210" customWidth="1"/>
    <col min="11797" max="12032" width="8.88671875" style="2210"/>
    <col min="12033" max="12033" width="9.44140625" style="2210" customWidth="1"/>
    <col min="12034" max="12034" width="8.88671875" style="2210"/>
    <col min="12035" max="12037" width="12.88671875" style="2210" customWidth="1"/>
    <col min="12038" max="12038" width="47.44140625" style="2210" customWidth="1"/>
    <col min="12039" max="12039" width="13" style="2210" customWidth="1"/>
    <col min="12040" max="12041" width="8.88671875" style="2210"/>
    <col min="12042" max="12042" width="5.77734375" style="2210" customWidth="1"/>
    <col min="12043" max="12043" width="11.77734375" style="2210" customWidth="1"/>
    <col min="12044" max="12045" width="10.77734375" style="2210" customWidth="1"/>
    <col min="12046" max="12046" width="10" style="2210" customWidth="1"/>
    <col min="12047" max="12048" width="10.44140625" style="2210" bestFit="1" customWidth="1"/>
    <col min="12049" max="12049" width="10" style="2210" customWidth="1"/>
    <col min="12050" max="12050" width="10.109375" style="2210" customWidth="1"/>
    <col min="12051" max="12051" width="10" style="2210" customWidth="1"/>
    <col min="12052" max="12052" width="26.109375" style="2210" customWidth="1"/>
    <col min="12053" max="12288" width="8.88671875" style="2210"/>
    <col min="12289" max="12289" width="9.44140625" style="2210" customWidth="1"/>
    <col min="12290" max="12290" width="8.88671875" style="2210"/>
    <col min="12291" max="12293" width="12.88671875" style="2210" customWidth="1"/>
    <col min="12294" max="12294" width="47.44140625" style="2210" customWidth="1"/>
    <col min="12295" max="12295" width="13" style="2210" customWidth="1"/>
    <col min="12296" max="12297" width="8.88671875" style="2210"/>
    <col min="12298" max="12298" width="5.77734375" style="2210" customWidth="1"/>
    <col min="12299" max="12299" width="11.77734375" style="2210" customWidth="1"/>
    <col min="12300" max="12301" width="10.77734375" style="2210" customWidth="1"/>
    <col min="12302" max="12302" width="10" style="2210" customWidth="1"/>
    <col min="12303" max="12304" width="10.44140625" style="2210" bestFit="1" customWidth="1"/>
    <col min="12305" max="12305" width="10" style="2210" customWidth="1"/>
    <col min="12306" max="12306" width="10.109375" style="2210" customWidth="1"/>
    <col min="12307" max="12307" width="10" style="2210" customWidth="1"/>
    <col min="12308" max="12308" width="26.109375" style="2210" customWidth="1"/>
    <col min="12309" max="12544" width="8.88671875" style="2210"/>
    <col min="12545" max="12545" width="9.44140625" style="2210" customWidth="1"/>
    <col min="12546" max="12546" width="8.88671875" style="2210"/>
    <col min="12547" max="12549" width="12.88671875" style="2210" customWidth="1"/>
    <col min="12550" max="12550" width="47.44140625" style="2210" customWidth="1"/>
    <col min="12551" max="12551" width="13" style="2210" customWidth="1"/>
    <col min="12552" max="12553" width="8.88671875" style="2210"/>
    <col min="12554" max="12554" width="5.77734375" style="2210" customWidth="1"/>
    <col min="12555" max="12555" width="11.77734375" style="2210" customWidth="1"/>
    <col min="12556" max="12557" width="10.77734375" style="2210" customWidth="1"/>
    <col min="12558" max="12558" width="10" style="2210" customWidth="1"/>
    <col min="12559" max="12560" width="10.44140625" style="2210" bestFit="1" customWidth="1"/>
    <col min="12561" max="12561" width="10" style="2210" customWidth="1"/>
    <col min="12562" max="12562" width="10.109375" style="2210" customWidth="1"/>
    <col min="12563" max="12563" width="10" style="2210" customWidth="1"/>
    <col min="12564" max="12564" width="26.109375" style="2210" customWidth="1"/>
    <col min="12565" max="12800" width="8.88671875" style="2210"/>
    <col min="12801" max="12801" width="9.44140625" style="2210" customWidth="1"/>
    <col min="12802" max="12802" width="8.88671875" style="2210"/>
    <col min="12803" max="12805" width="12.88671875" style="2210" customWidth="1"/>
    <col min="12806" max="12806" width="47.44140625" style="2210" customWidth="1"/>
    <col min="12807" max="12807" width="13" style="2210" customWidth="1"/>
    <col min="12808" max="12809" width="8.88671875" style="2210"/>
    <col min="12810" max="12810" width="5.77734375" style="2210" customWidth="1"/>
    <col min="12811" max="12811" width="11.77734375" style="2210" customWidth="1"/>
    <col min="12812" max="12813" width="10.77734375" style="2210" customWidth="1"/>
    <col min="12814" max="12814" width="10" style="2210" customWidth="1"/>
    <col min="12815" max="12816" width="10.44140625" style="2210" bestFit="1" customWidth="1"/>
    <col min="12817" max="12817" width="10" style="2210" customWidth="1"/>
    <col min="12818" max="12818" width="10.109375" style="2210" customWidth="1"/>
    <col min="12819" max="12819" width="10" style="2210" customWidth="1"/>
    <col min="12820" max="12820" width="26.109375" style="2210" customWidth="1"/>
    <col min="12821" max="13056" width="8.88671875" style="2210"/>
    <col min="13057" max="13057" width="9.44140625" style="2210" customWidth="1"/>
    <col min="13058" max="13058" width="8.88671875" style="2210"/>
    <col min="13059" max="13061" width="12.88671875" style="2210" customWidth="1"/>
    <col min="13062" max="13062" width="47.44140625" style="2210" customWidth="1"/>
    <col min="13063" max="13063" width="13" style="2210" customWidth="1"/>
    <col min="13064" max="13065" width="8.88671875" style="2210"/>
    <col min="13066" max="13066" width="5.77734375" style="2210" customWidth="1"/>
    <col min="13067" max="13067" width="11.77734375" style="2210" customWidth="1"/>
    <col min="13068" max="13069" width="10.77734375" style="2210" customWidth="1"/>
    <col min="13070" max="13070" width="10" style="2210" customWidth="1"/>
    <col min="13071" max="13072" width="10.44140625" style="2210" bestFit="1" customWidth="1"/>
    <col min="13073" max="13073" width="10" style="2210" customWidth="1"/>
    <col min="13074" max="13074" width="10.109375" style="2210" customWidth="1"/>
    <col min="13075" max="13075" width="10" style="2210" customWidth="1"/>
    <col min="13076" max="13076" width="26.109375" style="2210" customWidth="1"/>
    <col min="13077" max="13312" width="8.88671875" style="2210"/>
    <col min="13313" max="13313" width="9.44140625" style="2210" customWidth="1"/>
    <col min="13314" max="13314" width="8.88671875" style="2210"/>
    <col min="13315" max="13317" width="12.88671875" style="2210" customWidth="1"/>
    <col min="13318" max="13318" width="47.44140625" style="2210" customWidth="1"/>
    <col min="13319" max="13319" width="13" style="2210" customWidth="1"/>
    <col min="13320" max="13321" width="8.88671875" style="2210"/>
    <col min="13322" max="13322" width="5.77734375" style="2210" customWidth="1"/>
    <col min="13323" max="13323" width="11.77734375" style="2210" customWidth="1"/>
    <col min="13324" max="13325" width="10.77734375" style="2210" customWidth="1"/>
    <col min="13326" max="13326" width="10" style="2210" customWidth="1"/>
    <col min="13327" max="13328" width="10.44140625" style="2210" bestFit="1" customWidth="1"/>
    <col min="13329" max="13329" width="10" style="2210" customWidth="1"/>
    <col min="13330" max="13330" width="10.109375" style="2210" customWidth="1"/>
    <col min="13331" max="13331" width="10" style="2210" customWidth="1"/>
    <col min="13332" max="13332" width="26.109375" style="2210" customWidth="1"/>
    <col min="13333" max="13568" width="8.88671875" style="2210"/>
    <col min="13569" max="13569" width="9.44140625" style="2210" customWidth="1"/>
    <col min="13570" max="13570" width="8.88671875" style="2210"/>
    <col min="13571" max="13573" width="12.88671875" style="2210" customWidth="1"/>
    <col min="13574" max="13574" width="47.44140625" style="2210" customWidth="1"/>
    <col min="13575" max="13575" width="13" style="2210" customWidth="1"/>
    <col min="13576" max="13577" width="8.88671875" style="2210"/>
    <col min="13578" max="13578" width="5.77734375" style="2210" customWidth="1"/>
    <col min="13579" max="13579" width="11.77734375" style="2210" customWidth="1"/>
    <col min="13580" max="13581" width="10.77734375" style="2210" customWidth="1"/>
    <col min="13582" max="13582" width="10" style="2210" customWidth="1"/>
    <col min="13583" max="13584" width="10.44140625" style="2210" bestFit="1" customWidth="1"/>
    <col min="13585" max="13585" width="10" style="2210" customWidth="1"/>
    <col min="13586" max="13586" width="10.109375" style="2210" customWidth="1"/>
    <col min="13587" max="13587" width="10" style="2210" customWidth="1"/>
    <col min="13588" max="13588" width="26.109375" style="2210" customWidth="1"/>
    <col min="13589" max="13824" width="8.88671875" style="2210"/>
    <col min="13825" max="13825" width="9.44140625" style="2210" customWidth="1"/>
    <col min="13826" max="13826" width="8.88671875" style="2210"/>
    <col min="13827" max="13829" width="12.88671875" style="2210" customWidth="1"/>
    <col min="13830" max="13830" width="47.44140625" style="2210" customWidth="1"/>
    <col min="13831" max="13831" width="13" style="2210" customWidth="1"/>
    <col min="13832" max="13833" width="8.88671875" style="2210"/>
    <col min="13834" max="13834" width="5.77734375" style="2210" customWidth="1"/>
    <col min="13835" max="13835" width="11.77734375" style="2210" customWidth="1"/>
    <col min="13836" max="13837" width="10.77734375" style="2210" customWidth="1"/>
    <col min="13838" max="13838" width="10" style="2210" customWidth="1"/>
    <col min="13839" max="13840" width="10.44140625" style="2210" bestFit="1" customWidth="1"/>
    <col min="13841" max="13841" width="10" style="2210" customWidth="1"/>
    <col min="13842" max="13842" width="10.109375" style="2210" customWidth="1"/>
    <col min="13843" max="13843" width="10" style="2210" customWidth="1"/>
    <col min="13844" max="13844" width="26.109375" style="2210" customWidth="1"/>
    <col min="13845" max="14080" width="8.88671875" style="2210"/>
    <col min="14081" max="14081" width="9.44140625" style="2210" customWidth="1"/>
    <col min="14082" max="14082" width="8.88671875" style="2210"/>
    <col min="14083" max="14085" width="12.88671875" style="2210" customWidth="1"/>
    <col min="14086" max="14086" width="47.44140625" style="2210" customWidth="1"/>
    <col min="14087" max="14087" width="13" style="2210" customWidth="1"/>
    <col min="14088" max="14089" width="8.88671875" style="2210"/>
    <col min="14090" max="14090" width="5.77734375" style="2210" customWidth="1"/>
    <col min="14091" max="14091" width="11.77734375" style="2210" customWidth="1"/>
    <col min="14092" max="14093" width="10.77734375" style="2210" customWidth="1"/>
    <col min="14094" max="14094" width="10" style="2210" customWidth="1"/>
    <col min="14095" max="14096" width="10.44140625" style="2210" bestFit="1" customWidth="1"/>
    <col min="14097" max="14097" width="10" style="2210" customWidth="1"/>
    <col min="14098" max="14098" width="10.109375" style="2210" customWidth="1"/>
    <col min="14099" max="14099" width="10" style="2210" customWidth="1"/>
    <col min="14100" max="14100" width="26.109375" style="2210" customWidth="1"/>
    <col min="14101" max="14336" width="8.88671875" style="2210"/>
    <col min="14337" max="14337" width="9.44140625" style="2210" customWidth="1"/>
    <col min="14338" max="14338" width="8.88671875" style="2210"/>
    <col min="14339" max="14341" width="12.88671875" style="2210" customWidth="1"/>
    <col min="14342" max="14342" width="47.44140625" style="2210" customWidth="1"/>
    <col min="14343" max="14343" width="13" style="2210" customWidth="1"/>
    <col min="14344" max="14345" width="8.88671875" style="2210"/>
    <col min="14346" max="14346" width="5.77734375" style="2210" customWidth="1"/>
    <col min="14347" max="14347" width="11.77734375" style="2210" customWidth="1"/>
    <col min="14348" max="14349" width="10.77734375" style="2210" customWidth="1"/>
    <col min="14350" max="14350" width="10" style="2210" customWidth="1"/>
    <col min="14351" max="14352" width="10.44140625" style="2210" bestFit="1" customWidth="1"/>
    <col min="14353" max="14353" width="10" style="2210" customWidth="1"/>
    <col min="14354" max="14354" width="10.109375" style="2210" customWidth="1"/>
    <col min="14355" max="14355" width="10" style="2210" customWidth="1"/>
    <col min="14356" max="14356" width="26.109375" style="2210" customWidth="1"/>
    <col min="14357" max="14592" width="8.88671875" style="2210"/>
    <col min="14593" max="14593" width="9.44140625" style="2210" customWidth="1"/>
    <col min="14594" max="14594" width="8.88671875" style="2210"/>
    <col min="14595" max="14597" width="12.88671875" style="2210" customWidth="1"/>
    <col min="14598" max="14598" width="47.44140625" style="2210" customWidth="1"/>
    <col min="14599" max="14599" width="13" style="2210" customWidth="1"/>
    <col min="14600" max="14601" width="8.88671875" style="2210"/>
    <col min="14602" max="14602" width="5.77734375" style="2210" customWidth="1"/>
    <col min="14603" max="14603" width="11.77734375" style="2210" customWidth="1"/>
    <col min="14604" max="14605" width="10.77734375" style="2210" customWidth="1"/>
    <col min="14606" max="14606" width="10" style="2210" customWidth="1"/>
    <col min="14607" max="14608" width="10.44140625" style="2210" bestFit="1" customWidth="1"/>
    <col min="14609" max="14609" width="10" style="2210" customWidth="1"/>
    <col min="14610" max="14610" width="10.109375" style="2210" customWidth="1"/>
    <col min="14611" max="14611" width="10" style="2210" customWidth="1"/>
    <col min="14612" max="14612" width="26.109375" style="2210" customWidth="1"/>
    <col min="14613" max="14848" width="8.88671875" style="2210"/>
    <col min="14849" max="14849" width="9.44140625" style="2210" customWidth="1"/>
    <col min="14850" max="14850" width="8.88671875" style="2210"/>
    <col min="14851" max="14853" width="12.88671875" style="2210" customWidth="1"/>
    <col min="14854" max="14854" width="47.44140625" style="2210" customWidth="1"/>
    <col min="14855" max="14855" width="13" style="2210" customWidth="1"/>
    <col min="14856" max="14857" width="8.88671875" style="2210"/>
    <col min="14858" max="14858" width="5.77734375" style="2210" customWidth="1"/>
    <col min="14859" max="14859" width="11.77734375" style="2210" customWidth="1"/>
    <col min="14860" max="14861" width="10.77734375" style="2210" customWidth="1"/>
    <col min="14862" max="14862" width="10" style="2210" customWidth="1"/>
    <col min="14863" max="14864" width="10.44140625" style="2210" bestFit="1" customWidth="1"/>
    <col min="14865" max="14865" width="10" style="2210" customWidth="1"/>
    <col min="14866" max="14866" width="10.109375" style="2210" customWidth="1"/>
    <col min="14867" max="14867" width="10" style="2210" customWidth="1"/>
    <col min="14868" max="14868" width="26.109375" style="2210" customWidth="1"/>
    <col min="14869" max="15104" width="8.88671875" style="2210"/>
    <col min="15105" max="15105" width="9.44140625" style="2210" customWidth="1"/>
    <col min="15106" max="15106" width="8.88671875" style="2210"/>
    <col min="15107" max="15109" width="12.88671875" style="2210" customWidth="1"/>
    <col min="15110" max="15110" width="47.44140625" style="2210" customWidth="1"/>
    <col min="15111" max="15111" width="13" style="2210" customWidth="1"/>
    <col min="15112" max="15113" width="8.88671875" style="2210"/>
    <col min="15114" max="15114" width="5.77734375" style="2210" customWidth="1"/>
    <col min="15115" max="15115" width="11.77734375" style="2210" customWidth="1"/>
    <col min="15116" max="15117" width="10.77734375" style="2210" customWidth="1"/>
    <col min="15118" max="15118" width="10" style="2210" customWidth="1"/>
    <col min="15119" max="15120" width="10.44140625" style="2210" bestFit="1" customWidth="1"/>
    <col min="15121" max="15121" width="10" style="2210" customWidth="1"/>
    <col min="15122" max="15122" width="10.109375" style="2210" customWidth="1"/>
    <col min="15123" max="15123" width="10" style="2210" customWidth="1"/>
    <col min="15124" max="15124" width="26.109375" style="2210" customWidth="1"/>
    <col min="15125" max="15360" width="8.88671875" style="2210"/>
    <col min="15361" max="15361" width="9.44140625" style="2210" customWidth="1"/>
    <col min="15362" max="15362" width="8.88671875" style="2210"/>
    <col min="15363" max="15365" width="12.88671875" style="2210" customWidth="1"/>
    <col min="15366" max="15366" width="47.44140625" style="2210" customWidth="1"/>
    <col min="15367" max="15367" width="13" style="2210" customWidth="1"/>
    <col min="15368" max="15369" width="8.88671875" style="2210"/>
    <col min="15370" max="15370" width="5.77734375" style="2210" customWidth="1"/>
    <col min="15371" max="15371" width="11.77734375" style="2210" customWidth="1"/>
    <col min="15372" max="15373" width="10.77734375" style="2210" customWidth="1"/>
    <col min="15374" max="15374" width="10" style="2210" customWidth="1"/>
    <col min="15375" max="15376" width="10.44140625" style="2210" bestFit="1" customWidth="1"/>
    <col min="15377" max="15377" width="10" style="2210" customWidth="1"/>
    <col min="15378" max="15378" width="10.109375" style="2210" customWidth="1"/>
    <col min="15379" max="15379" width="10" style="2210" customWidth="1"/>
    <col min="15380" max="15380" width="26.109375" style="2210" customWidth="1"/>
    <col min="15381" max="15616" width="8.88671875" style="2210"/>
    <col min="15617" max="15617" width="9.44140625" style="2210" customWidth="1"/>
    <col min="15618" max="15618" width="8.88671875" style="2210"/>
    <col min="15619" max="15621" width="12.88671875" style="2210" customWidth="1"/>
    <col min="15622" max="15622" width="47.44140625" style="2210" customWidth="1"/>
    <col min="15623" max="15623" width="13" style="2210" customWidth="1"/>
    <col min="15624" max="15625" width="8.88671875" style="2210"/>
    <col min="15626" max="15626" width="5.77734375" style="2210" customWidth="1"/>
    <col min="15627" max="15627" width="11.77734375" style="2210" customWidth="1"/>
    <col min="15628" max="15629" width="10.77734375" style="2210" customWidth="1"/>
    <col min="15630" max="15630" width="10" style="2210" customWidth="1"/>
    <col min="15631" max="15632" width="10.44140625" style="2210" bestFit="1" customWidth="1"/>
    <col min="15633" max="15633" width="10" style="2210" customWidth="1"/>
    <col min="15634" max="15634" width="10.109375" style="2210" customWidth="1"/>
    <col min="15635" max="15635" width="10" style="2210" customWidth="1"/>
    <col min="15636" max="15636" width="26.109375" style="2210" customWidth="1"/>
    <col min="15637" max="15872" width="8.88671875" style="2210"/>
    <col min="15873" max="15873" width="9.44140625" style="2210" customWidth="1"/>
    <col min="15874" max="15874" width="8.88671875" style="2210"/>
    <col min="15875" max="15877" width="12.88671875" style="2210" customWidth="1"/>
    <col min="15878" max="15878" width="47.44140625" style="2210" customWidth="1"/>
    <col min="15879" max="15879" width="13" style="2210" customWidth="1"/>
    <col min="15880" max="15881" width="8.88671875" style="2210"/>
    <col min="15882" max="15882" width="5.77734375" style="2210" customWidth="1"/>
    <col min="15883" max="15883" width="11.77734375" style="2210" customWidth="1"/>
    <col min="15884" max="15885" width="10.77734375" style="2210" customWidth="1"/>
    <col min="15886" max="15886" width="10" style="2210" customWidth="1"/>
    <col min="15887" max="15888" width="10.44140625" style="2210" bestFit="1" customWidth="1"/>
    <col min="15889" max="15889" width="10" style="2210" customWidth="1"/>
    <col min="15890" max="15890" width="10.109375" style="2210" customWidth="1"/>
    <col min="15891" max="15891" width="10" style="2210" customWidth="1"/>
    <col min="15892" max="15892" width="26.109375" style="2210" customWidth="1"/>
    <col min="15893" max="16128" width="8.88671875" style="2210"/>
    <col min="16129" max="16129" width="9.44140625" style="2210" customWidth="1"/>
    <col min="16130" max="16130" width="8.88671875" style="2210"/>
    <col min="16131" max="16133" width="12.88671875" style="2210" customWidth="1"/>
    <col min="16134" max="16134" width="47.44140625" style="2210" customWidth="1"/>
    <col min="16135" max="16135" width="13" style="2210" customWidth="1"/>
    <col min="16136" max="16137" width="8.88671875" style="2210"/>
    <col min="16138" max="16138" width="5.77734375" style="2210" customWidth="1"/>
    <col min="16139" max="16139" width="11.77734375" style="2210" customWidth="1"/>
    <col min="16140" max="16141" width="10.77734375" style="2210" customWidth="1"/>
    <col min="16142" max="16142" width="10" style="2210" customWidth="1"/>
    <col min="16143" max="16144" width="10.44140625" style="2210" bestFit="1" customWidth="1"/>
    <col min="16145" max="16145" width="10" style="2210" customWidth="1"/>
    <col min="16146" max="16146" width="10.109375" style="2210" customWidth="1"/>
    <col min="16147" max="16147" width="10" style="2210" customWidth="1"/>
    <col min="16148" max="16148" width="26.109375" style="2210" customWidth="1"/>
    <col min="16149" max="16384" width="8.88671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2" customHeight="1">
      <c r="A2" s="1190" t="s">
        <v>2814</v>
      </c>
      <c r="B2" s="2211" t="e">
        <f>C40</f>
        <v>#DIV/0!</v>
      </c>
      <c r="C2" s="2212" t="s">
        <v>2815</v>
      </c>
      <c r="D2" s="2212"/>
      <c r="E2" s="2213"/>
      <c r="F2" s="2214"/>
      <c r="G2" s="2215"/>
      <c r="H2" s="2216"/>
      <c r="I2" s="2217"/>
      <c r="J2" s="3854" t="s">
        <v>2816</v>
      </c>
      <c r="K2" s="3855"/>
      <c r="L2" s="2218" t="s">
        <v>2817</v>
      </c>
      <c r="M2" s="2218" t="s">
        <v>2818</v>
      </c>
      <c r="N2" s="2218" t="s">
        <v>2819</v>
      </c>
      <c r="O2" s="2218" t="s">
        <v>2820</v>
      </c>
      <c r="P2" s="2218" t="s">
        <v>2821</v>
      </c>
      <c r="Q2" s="2219" t="s">
        <v>2822</v>
      </c>
      <c r="R2" s="2220" t="s">
        <v>2823</v>
      </c>
      <c r="S2" s="2209"/>
      <c r="T2" s="2209"/>
      <c r="U2" s="2209"/>
      <c r="V2" s="2217"/>
    </row>
    <row r="3" spans="1:22" s="2221" customFormat="1" ht="13.2" customHeight="1">
      <c r="A3" s="2222" t="s">
        <v>2824</v>
      </c>
      <c r="B3" s="2223" t="e">
        <f>ROUND(B2*10000/B4,0)</f>
        <v>#DIV/0!</v>
      </c>
      <c r="C3" s="2212" t="s">
        <v>2825</v>
      </c>
      <c r="D3" s="2212"/>
      <c r="E3" s="2213"/>
      <c r="F3" s="2214"/>
      <c r="G3" s="2215"/>
      <c r="H3" s="2216"/>
      <c r="I3" s="2217"/>
      <c r="J3" s="3856" t="s">
        <v>2826</v>
      </c>
      <c r="K3" s="3857"/>
      <c r="L3" s="2224"/>
      <c r="M3" s="2224"/>
      <c r="N3" s="2224"/>
      <c r="O3" s="2224"/>
      <c r="P3" s="2224"/>
      <c r="Q3" s="2225"/>
      <c r="R3" s="2226">
        <f>SUM(L3:Q3)</f>
        <v>0</v>
      </c>
      <c r="S3" s="2209"/>
      <c r="T3" s="2209"/>
      <c r="U3" s="2209"/>
      <c r="V3" s="2217"/>
    </row>
    <row r="4" spans="1:22" s="2221" customFormat="1" ht="13.2" customHeight="1">
      <c r="A4" s="2227" t="s">
        <v>2827</v>
      </c>
      <c r="B4" s="2228"/>
      <c r="C4" s="2212"/>
      <c r="D4" s="2212"/>
      <c r="E4" s="2213"/>
      <c r="F4" s="2214"/>
      <c r="G4" s="2215"/>
      <c r="H4" s="2216"/>
      <c r="I4" s="2217"/>
      <c r="J4" s="3856" t="s">
        <v>2828</v>
      </c>
      <c r="K4" s="3857"/>
      <c r="L4" s="2229"/>
      <c r="M4" s="2229"/>
      <c r="N4" s="2229"/>
      <c r="O4" s="2229"/>
      <c r="P4" s="2229"/>
      <c r="Q4" s="2230"/>
      <c r="R4" s="2231">
        <f>SUM(L4:Q4)</f>
        <v>0</v>
      </c>
      <c r="S4" s="2209"/>
      <c r="T4" s="2209"/>
      <c r="U4" s="2209"/>
      <c r="V4" s="2217"/>
    </row>
    <row r="5" spans="1:22" s="2221" customFormat="1" ht="13.2"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2" customHeight="1" thickBot="1">
      <c r="A6" s="3858" t="s">
        <v>2832</v>
      </c>
      <c r="B6" s="3859"/>
      <c r="C6" s="3860"/>
      <c r="D6" s="2238"/>
      <c r="E6" s="2239"/>
      <c r="F6" s="2240"/>
      <c r="G6" s="2241"/>
      <c r="H6" s="2216"/>
      <c r="I6" s="2217"/>
      <c r="J6" s="3861">
        <v>1</v>
      </c>
      <c r="K6" s="3862"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2" customHeight="1">
      <c r="A7" s="2244" t="s">
        <v>2842</v>
      </c>
      <c r="B7" s="2245"/>
      <c r="C7" s="2246"/>
      <c r="D7" s="2247">
        <f>SUM(D9,D10,D11,D17,0)</f>
        <v>0</v>
      </c>
      <c r="E7" s="2248" t="e">
        <f>E9+E10+E11+E17</f>
        <v>#DIV/0!</v>
      </c>
      <c r="F7" s="2249"/>
      <c r="G7" s="2250"/>
      <c r="H7" s="2216"/>
      <c r="I7" s="2217"/>
      <c r="J7" s="3861"/>
      <c r="K7" s="3863"/>
      <c r="L7" s="2251" t="s">
        <v>2843</v>
      </c>
      <c r="M7" s="2252"/>
      <c r="N7" s="2228"/>
      <c r="O7" s="2253"/>
      <c r="P7" s="2253"/>
      <c r="Q7" s="2254">
        <v>365</v>
      </c>
      <c r="R7" s="2255">
        <f>ROUND(M7*N7*O7*P7*Q7/10000,0)</f>
        <v>0</v>
      </c>
      <c r="S7" s="2209"/>
      <c r="T7" s="2209" t="s">
        <v>2844</v>
      </c>
      <c r="U7" s="2209"/>
      <c r="V7" s="2217"/>
    </row>
    <row r="8" spans="1:22" s="2221" customFormat="1" ht="13.2" customHeight="1">
      <c r="A8" s="2256" t="s">
        <v>2845</v>
      </c>
      <c r="B8" s="3865" t="s">
        <v>2846</v>
      </c>
      <c r="C8" s="3866"/>
      <c r="D8" s="2257" t="s">
        <v>2847</v>
      </c>
      <c r="E8" s="2258" t="s">
        <v>2848</v>
      </c>
      <c r="F8" s="2259" t="s">
        <v>2849</v>
      </c>
      <c r="G8" s="2260"/>
      <c r="H8" s="2216"/>
      <c r="I8" s="2217"/>
      <c r="J8" s="3861"/>
      <c r="K8" s="3863"/>
      <c r="L8" s="2251" t="s">
        <v>2850</v>
      </c>
      <c r="M8" s="2252"/>
      <c r="N8" s="2228"/>
      <c r="O8" s="2253"/>
      <c r="P8" s="2253"/>
      <c r="Q8" s="2254">
        <v>365</v>
      </c>
      <c r="R8" s="2255">
        <f t="shared" ref="R8:R13" si="0">ROUND(M8*N8*O8*P8*Q8/10000,0)</f>
        <v>0</v>
      </c>
      <c r="S8" s="2209"/>
      <c r="T8" s="2209" t="s">
        <v>2851</v>
      </c>
      <c r="U8" s="2209"/>
      <c r="V8" s="2217"/>
    </row>
    <row r="9" spans="1:22" s="2221" customFormat="1" ht="13.2" customHeight="1">
      <c r="A9" s="2256">
        <v>1</v>
      </c>
      <c r="B9" s="3865" t="s">
        <v>2852</v>
      </c>
      <c r="C9" s="3866"/>
      <c r="D9" s="2257">
        <f>ROUND(D6*E9,0)</f>
        <v>0</v>
      </c>
      <c r="E9" s="2261"/>
      <c r="F9" s="2262" t="s">
        <v>2853</v>
      </c>
      <c r="G9" s="2241"/>
      <c r="H9" s="2216"/>
      <c r="I9" s="2217"/>
      <c r="J9" s="3861"/>
      <c r="K9" s="3863"/>
      <c r="L9" s="2251" t="s">
        <v>2854</v>
      </c>
      <c r="M9" s="2252"/>
      <c r="N9" s="2228"/>
      <c r="O9" s="2253"/>
      <c r="P9" s="2253"/>
      <c r="Q9" s="2254">
        <v>365</v>
      </c>
      <c r="R9" s="2255">
        <f t="shared" si="0"/>
        <v>0</v>
      </c>
      <c r="S9" s="2209"/>
      <c r="T9" s="2209"/>
      <c r="U9" s="2209"/>
      <c r="V9" s="2217"/>
    </row>
    <row r="10" spans="1:22" s="2221" customFormat="1" ht="13.2" customHeight="1">
      <c r="A10" s="2256">
        <v>2</v>
      </c>
      <c r="B10" s="3865" t="s">
        <v>2855</v>
      </c>
      <c r="C10" s="3866"/>
      <c r="D10" s="2257">
        <f>ROUND(D6*E10,0)</f>
        <v>0</v>
      </c>
      <c r="E10" s="2261"/>
      <c r="F10" s="2262" t="s">
        <v>2856</v>
      </c>
      <c r="G10" s="2241"/>
      <c r="H10" s="2216"/>
      <c r="I10" s="2217"/>
      <c r="J10" s="3861"/>
      <c r="K10" s="3863"/>
      <c r="L10" s="2251" t="s">
        <v>2857</v>
      </c>
      <c r="M10" s="2252"/>
      <c r="N10" s="2228"/>
      <c r="O10" s="2253"/>
      <c r="P10" s="2253"/>
      <c r="Q10" s="2254">
        <v>365</v>
      </c>
      <c r="R10" s="2255">
        <f t="shared" si="0"/>
        <v>0</v>
      </c>
      <c r="S10" s="2209"/>
      <c r="T10" s="2209"/>
      <c r="U10" s="2209"/>
      <c r="V10" s="2217"/>
    </row>
    <row r="11" spans="1:22" s="2221" customFormat="1" ht="13.2" customHeight="1">
      <c r="A11" s="2256">
        <v>3</v>
      </c>
      <c r="B11" s="3865" t="s">
        <v>2858</v>
      </c>
      <c r="C11" s="3866"/>
      <c r="D11" s="2257">
        <f>D12+D14+D15+D16</f>
        <v>0</v>
      </c>
      <c r="E11" s="2263" t="e">
        <f>D11/D6</f>
        <v>#DIV/0!</v>
      </c>
      <c r="F11" s="2259"/>
      <c r="G11" s="2260"/>
      <c r="H11" s="2216"/>
      <c r="I11" s="2217"/>
      <c r="J11" s="3861"/>
      <c r="K11" s="3863"/>
      <c r="L11" s="2251" t="s">
        <v>2859</v>
      </c>
      <c r="M11" s="2252"/>
      <c r="N11" s="2228"/>
      <c r="O11" s="2253"/>
      <c r="P11" s="2253"/>
      <c r="Q11" s="2254">
        <v>365</v>
      </c>
      <c r="R11" s="2255">
        <f t="shared" si="0"/>
        <v>0</v>
      </c>
      <c r="S11" s="2209"/>
      <c r="T11" s="2209"/>
      <c r="U11" s="2209"/>
      <c r="V11" s="2217"/>
    </row>
    <row r="12" spans="1:22" s="2221" customFormat="1" ht="13.2" customHeight="1">
      <c r="A12" s="2264" t="s">
        <v>2860</v>
      </c>
      <c r="B12" s="3867" t="s">
        <v>2861</v>
      </c>
      <c r="C12" s="3868"/>
      <c r="D12" s="2265">
        <f>ROUND(D13*1.2%*(1-30%),0)</f>
        <v>0</v>
      </c>
      <c r="E12" s="2266">
        <v>1.2E-2</v>
      </c>
      <c r="F12" s="2259" t="s">
        <v>2862</v>
      </c>
      <c r="G12" s="2260"/>
      <c r="H12" s="2216"/>
      <c r="I12" s="2217"/>
      <c r="J12" s="3861"/>
      <c r="K12" s="3863"/>
      <c r="L12" s="2251" t="s">
        <v>2863</v>
      </c>
      <c r="M12" s="2252"/>
      <c r="N12" s="2228"/>
      <c r="O12" s="2253"/>
      <c r="P12" s="2253"/>
      <c r="Q12" s="2254">
        <v>365</v>
      </c>
      <c r="R12" s="2255">
        <f t="shared" si="0"/>
        <v>0</v>
      </c>
      <c r="S12" s="2209"/>
      <c r="T12" s="2209"/>
      <c r="U12" s="2209"/>
      <c r="V12" s="2217"/>
    </row>
    <row r="13" spans="1:22" s="2221" customFormat="1" ht="13.2" customHeight="1">
      <c r="A13" s="2264"/>
      <c r="B13" s="2267"/>
      <c r="C13" s="2268" t="s">
        <v>2864</v>
      </c>
      <c r="D13" s="2269"/>
      <c r="E13" s="2270"/>
      <c r="F13" s="2259"/>
      <c r="G13" s="2260"/>
      <c r="H13" s="2216"/>
      <c r="I13" s="2217"/>
      <c r="J13" s="3861"/>
      <c r="K13" s="3863"/>
      <c r="L13" s="2251" t="s">
        <v>2865</v>
      </c>
      <c r="M13" s="2252"/>
      <c r="N13" s="2228"/>
      <c r="O13" s="2253"/>
      <c r="P13" s="2253"/>
      <c r="Q13" s="2254">
        <v>365</v>
      </c>
      <c r="R13" s="2255">
        <f t="shared" si="0"/>
        <v>0</v>
      </c>
      <c r="S13" s="2209"/>
      <c r="T13" s="2209"/>
      <c r="U13" s="2209"/>
      <c r="V13" s="2217"/>
    </row>
    <row r="14" spans="1:22" s="2221" customFormat="1" ht="13.2" customHeight="1">
      <c r="A14" s="2264" t="s">
        <v>2866</v>
      </c>
      <c r="B14" s="3867" t="s">
        <v>2867</v>
      </c>
      <c r="C14" s="3868"/>
      <c r="D14" s="2265">
        <f>ROUND(E14*B5/10000,0)</f>
        <v>0</v>
      </c>
      <c r="E14" s="2254"/>
      <c r="F14" s="2259" t="s">
        <v>2868</v>
      </c>
      <c r="G14" s="2260"/>
      <c r="H14" s="2216"/>
      <c r="I14" s="2217"/>
      <c r="J14" s="3861"/>
      <c r="K14" s="3864"/>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2" customHeight="1">
      <c r="A15" s="2264" t="s">
        <v>2870</v>
      </c>
      <c r="B15" s="3867" t="s">
        <v>2871</v>
      </c>
      <c r="C15" s="3868"/>
      <c r="D15" s="2265">
        <f>ROUND(D6*E15,0)</f>
        <v>0</v>
      </c>
      <c r="E15" s="2266">
        <v>5.5E-2</v>
      </c>
      <c r="F15" s="2259" t="s">
        <v>2872</v>
      </c>
      <c r="G15" s="2241"/>
      <c r="H15" s="2216"/>
      <c r="I15" s="2217"/>
      <c r="J15" s="3861">
        <v>2</v>
      </c>
      <c r="K15" s="3862"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2" customHeight="1">
      <c r="A16" s="2264" t="s">
        <v>2879</v>
      </c>
      <c r="B16" s="3867" t="s">
        <v>2880</v>
      </c>
      <c r="C16" s="3868"/>
      <c r="D16" s="2276">
        <f>D6*E16</f>
        <v>0</v>
      </c>
      <c r="E16" s="2277"/>
      <c r="F16" s="2262" t="s">
        <v>2881</v>
      </c>
      <c r="G16" s="2241"/>
      <c r="H16" s="2216"/>
      <c r="I16" s="2217"/>
      <c r="J16" s="3861"/>
      <c r="K16" s="3863"/>
      <c r="L16" s="2251" t="s">
        <v>2882</v>
      </c>
      <c r="M16" s="2252"/>
      <c r="N16" s="2252"/>
      <c r="O16" s="2253"/>
      <c r="P16" s="2254">
        <v>365</v>
      </c>
      <c r="Q16" s="2228"/>
      <c r="R16" s="2275">
        <f>ROUND(M16*N16*O16*P16/10000,0)</f>
        <v>0</v>
      </c>
      <c r="S16" s="2209"/>
      <c r="T16" s="2209"/>
      <c r="U16" s="2209"/>
      <c r="V16" s="2217"/>
    </row>
    <row r="17" spans="1:22" s="2221" customFormat="1" ht="13.2" customHeight="1" thickBot="1">
      <c r="A17" s="2278">
        <v>4</v>
      </c>
      <c r="B17" s="3869" t="s">
        <v>2883</v>
      </c>
      <c r="C17" s="3870"/>
      <c r="D17" s="2279">
        <f>ROUND(D6*E17,0)</f>
        <v>0</v>
      </c>
      <c r="E17" s="2280"/>
      <c r="F17" s="2281" t="s">
        <v>2884</v>
      </c>
      <c r="G17" s="2241"/>
      <c r="H17" s="2216"/>
      <c r="I17" s="2217"/>
      <c r="J17" s="3861"/>
      <c r="K17" s="3863"/>
      <c r="L17" s="2251" t="s">
        <v>2885</v>
      </c>
      <c r="M17" s="2252"/>
      <c r="N17" s="2252"/>
      <c r="O17" s="2253"/>
      <c r="P17" s="2254">
        <v>365</v>
      </c>
      <c r="Q17" s="2228"/>
      <c r="R17" s="2275">
        <f>ROUND(M17*N17*O17*P17/10000,0)</f>
        <v>0</v>
      </c>
      <c r="S17" s="2209"/>
      <c r="T17" s="2209"/>
      <c r="U17" s="2209"/>
      <c r="V17" s="2217"/>
    </row>
    <row r="18" spans="1:22" s="2221" customFormat="1" ht="13.2" customHeight="1" thickBot="1">
      <c r="A18" s="2244" t="s">
        <v>2886</v>
      </c>
      <c r="B18" s="2245"/>
      <c r="C18" s="2245"/>
      <c r="D18" s="2282">
        <f>ROUND(D6*E18,0)</f>
        <v>0</v>
      </c>
      <c r="E18" s="2283"/>
      <c r="F18" s="2284" t="s">
        <v>2887</v>
      </c>
      <c r="G18" s="2241"/>
      <c r="H18" s="2216"/>
      <c r="I18" s="2217"/>
      <c r="J18" s="3861"/>
      <c r="K18" s="3863"/>
      <c r="L18" s="2251" t="s">
        <v>2888</v>
      </c>
      <c r="M18" s="2252"/>
      <c r="N18" s="2252"/>
      <c r="O18" s="2253"/>
      <c r="P18" s="2254">
        <v>365</v>
      </c>
      <c r="Q18" s="2228"/>
      <c r="R18" s="2275">
        <f>ROUND(M18*N18*O18*P18/10000,0)</f>
        <v>0</v>
      </c>
      <c r="S18" s="2209"/>
      <c r="T18" s="2209"/>
      <c r="U18" s="2209"/>
      <c r="V18" s="2217"/>
    </row>
    <row r="19" spans="1:22" s="2221" customFormat="1" ht="13.2" customHeight="1" thickBot="1">
      <c r="A19" s="2285" t="s">
        <v>2889</v>
      </c>
      <c r="B19" s="2239"/>
      <c r="C19" s="2239"/>
      <c r="D19" s="2239"/>
      <c r="E19" s="2239"/>
      <c r="F19" s="2240"/>
      <c r="G19" s="2260"/>
      <c r="H19" s="2216"/>
      <c r="I19" s="2217"/>
      <c r="J19" s="3861"/>
      <c r="K19" s="3864"/>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2" customHeight="1">
      <c r="A20" s="2244"/>
      <c r="B20" s="2245"/>
      <c r="C20" s="2245"/>
      <c r="D20" s="2245"/>
      <c r="E20" s="2245"/>
      <c r="F20" s="2288"/>
      <c r="G20" s="2260"/>
      <c r="H20" s="2216"/>
      <c r="I20" s="2217"/>
      <c r="J20" s="3861">
        <v>3</v>
      </c>
      <c r="K20" s="3862"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2" customHeight="1">
      <c r="A21" s="2244"/>
      <c r="B21" s="2245"/>
      <c r="C21" s="2291" t="s">
        <v>2898</v>
      </c>
      <c r="D21" s="2292" t="s">
        <v>2899</v>
      </c>
      <c r="E21" s="2293" t="s">
        <v>2900</v>
      </c>
      <c r="F21" s="2288"/>
      <c r="G21" s="2260"/>
      <c r="H21" s="2216"/>
      <c r="I21" s="2217"/>
      <c r="J21" s="3861"/>
      <c r="K21" s="3863"/>
      <c r="L21" s="2251" t="s">
        <v>2901</v>
      </c>
      <c r="M21" s="2252"/>
      <c r="N21" s="2252"/>
      <c r="O21" s="2253"/>
      <c r="P21" s="2254">
        <v>365</v>
      </c>
      <c r="Q21" s="2228"/>
      <c r="R21" s="2294">
        <f>ROUND(M21*N21*O21*P21/10000,0)</f>
        <v>0</v>
      </c>
      <c r="S21" s="2290"/>
      <c r="T21" s="2290"/>
      <c r="U21" s="2290"/>
      <c r="V21" s="2217"/>
    </row>
    <row r="22" spans="1:22" s="2221" customFormat="1" ht="13.2" customHeight="1">
      <c r="A22" s="2244"/>
      <c r="B22" s="2245"/>
      <c r="C22" s="2295" t="s">
        <v>2902</v>
      </c>
      <c r="D22" s="2296" t="s">
        <v>2903</v>
      </c>
      <c r="E22" s="2297" t="s">
        <v>2904</v>
      </c>
      <c r="F22" s="2288"/>
      <c r="G22" s="2298"/>
      <c r="H22" s="2216"/>
      <c r="I22" s="2217"/>
      <c r="J22" s="3861"/>
      <c r="K22" s="3863"/>
      <c r="L22" s="2251" t="s">
        <v>2905</v>
      </c>
      <c r="M22" s="2252"/>
      <c r="N22" s="2252"/>
      <c r="O22" s="2253"/>
      <c r="P22" s="2254">
        <v>365</v>
      </c>
      <c r="Q22" s="2228"/>
      <c r="R22" s="2294">
        <f>ROUND(M22*N22*O22*P22/10000,0)</f>
        <v>0</v>
      </c>
      <c r="S22" s="2290"/>
      <c r="T22" s="2290"/>
      <c r="U22" s="2290"/>
      <c r="V22" s="2217"/>
    </row>
    <row r="23" spans="1:22" s="2221" customFormat="1" ht="13.2" customHeight="1">
      <c r="A23" s="2299">
        <v>1</v>
      </c>
      <c r="B23" s="2300" t="s">
        <v>2906</v>
      </c>
      <c r="C23" s="2301">
        <f>D6</f>
        <v>0</v>
      </c>
      <c r="D23" s="2302">
        <f>C23*(1+D24)</f>
        <v>0</v>
      </c>
      <c r="E23" s="2303">
        <f>D23*(1+E24)</f>
        <v>0</v>
      </c>
      <c r="F23" s="2304"/>
      <c r="G23" s="2305"/>
      <c r="H23" s="2216"/>
      <c r="I23" s="2217"/>
      <c r="J23" s="3861"/>
      <c r="K23" s="3863"/>
      <c r="L23" s="2251" t="s">
        <v>2907</v>
      </c>
      <c r="M23" s="2252"/>
      <c r="N23" s="2252"/>
      <c r="O23" s="2253"/>
      <c r="P23" s="2254">
        <v>365</v>
      </c>
      <c r="Q23" s="2228"/>
      <c r="R23" s="2294">
        <f>ROUND(M23*N23*O23*P23/10000,0)</f>
        <v>0</v>
      </c>
      <c r="S23" s="2209"/>
      <c r="T23" s="2209"/>
      <c r="U23" s="2209"/>
      <c r="V23" s="2217"/>
    </row>
    <row r="24" spans="1:22" s="2221" customFormat="1" ht="13.2" customHeight="1">
      <c r="A24" s="2306"/>
      <c r="B24" s="2307" t="s">
        <v>2908</v>
      </c>
      <c r="C24" s="2308"/>
      <c r="D24" s="2309"/>
      <c r="E24" s="2310"/>
      <c r="F24" s="2311"/>
      <c r="G24" s="2305"/>
      <c r="H24" s="2216"/>
      <c r="I24" s="2217"/>
      <c r="J24" s="3861"/>
      <c r="K24" s="3864"/>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2"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2" customHeight="1">
      <c r="A26" s="2299">
        <v>2</v>
      </c>
      <c r="B26" s="2300" t="s">
        <v>2910</v>
      </c>
      <c r="C26" s="2301">
        <f>D7</f>
        <v>0</v>
      </c>
      <c r="D26" s="2302">
        <f>D23*D27</f>
        <v>0</v>
      </c>
      <c r="E26" s="2303">
        <f>E23*E27</f>
        <v>0</v>
      </c>
      <c r="F26" s="2304"/>
      <c r="G26" s="2305"/>
      <c r="H26" s="2216"/>
      <c r="I26" s="2217"/>
      <c r="J26" s="3871">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2" customHeight="1">
      <c r="A27" s="2306"/>
      <c r="B27" s="2307" t="s">
        <v>2916</v>
      </c>
      <c r="C27" s="2325" t="e">
        <f>E7</f>
        <v>#DIV/0!</v>
      </c>
      <c r="D27" s="2309"/>
      <c r="E27" s="2310"/>
      <c r="F27" s="2311"/>
      <c r="G27" s="2305"/>
      <c r="H27" s="2326"/>
      <c r="I27" s="2317"/>
      <c r="J27" s="3872"/>
      <c r="K27" s="2327"/>
      <c r="L27" s="2328"/>
      <c r="M27" s="2329"/>
      <c r="N27" s="2330"/>
      <c r="O27" s="2330"/>
      <c r="P27" s="2330"/>
      <c r="Q27" s="2331"/>
      <c r="R27" s="2287">
        <f>ROUND(O27*N27*P27*(1-Q27)/10000,0)</f>
        <v>0</v>
      </c>
      <c r="S27" s="2209"/>
      <c r="T27" s="2209"/>
      <c r="U27" s="2209"/>
      <c r="V27" s="2217"/>
    </row>
    <row r="28" spans="1:22" s="2318" customFormat="1" ht="13.2"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2"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2"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2"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2" customHeight="1">
      <c r="A32" s="2299">
        <v>4</v>
      </c>
      <c r="B32" s="2300" t="s">
        <v>2924</v>
      </c>
      <c r="C32" s="2301">
        <f>C23-C26-C29</f>
        <v>0</v>
      </c>
      <c r="D32" s="2302">
        <f>D23-D26-D29</f>
        <v>0</v>
      </c>
      <c r="E32" s="2303">
        <f>E23-E26-E29</f>
        <v>0</v>
      </c>
      <c r="F32" s="2304"/>
      <c r="G32" s="2298"/>
      <c r="H32" s="2216"/>
      <c r="I32" s="2217"/>
      <c r="J32" s="3854" t="s">
        <v>2816</v>
      </c>
      <c r="K32" s="3855"/>
      <c r="L32" s="2218" t="s">
        <v>2817</v>
      </c>
      <c r="M32" s="2218" t="s">
        <v>2818</v>
      </c>
      <c r="N32" s="2218" t="s">
        <v>2819</v>
      </c>
      <c r="O32" s="2218" t="s">
        <v>2820</v>
      </c>
      <c r="P32" s="2218" t="s">
        <v>2821</v>
      </c>
      <c r="Q32" s="2219" t="s">
        <v>2822</v>
      </c>
      <c r="R32" s="2341" t="s">
        <v>2823</v>
      </c>
      <c r="S32" s="2290"/>
      <c r="T32" s="2209"/>
      <c r="U32" s="2209"/>
      <c r="V32" s="2317"/>
    </row>
    <row r="33" spans="1:23" s="2221" customFormat="1" ht="13.2" customHeight="1">
      <c r="A33" s="2299"/>
      <c r="B33" s="2300"/>
      <c r="C33" s="2301"/>
      <c r="D33" s="2342"/>
      <c r="E33" s="2343"/>
      <c r="F33" s="2304"/>
      <c r="G33" s="2298"/>
      <c r="H33" s="2326"/>
      <c r="I33" s="2317"/>
      <c r="J33" s="3856" t="s">
        <v>2826</v>
      </c>
      <c r="K33" s="3857"/>
      <c r="L33" s="2224"/>
      <c r="M33" s="2224"/>
      <c r="N33" s="2224"/>
      <c r="O33" s="2224"/>
      <c r="P33" s="2224"/>
      <c r="Q33" s="2225"/>
      <c r="R33" s="2344">
        <f>SUM(L33:Q33)</f>
        <v>0</v>
      </c>
      <c r="S33" s="2290"/>
      <c r="T33" s="2209"/>
      <c r="U33" s="2209"/>
      <c r="V33" s="2217"/>
    </row>
    <row r="34" spans="1:23" s="2221" customFormat="1" ht="13.2" customHeight="1">
      <c r="A34" s="2299">
        <v>5</v>
      </c>
      <c r="B34" s="2300" t="s">
        <v>2925</v>
      </c>
      <c r="C34" s="2345"/>
      <c r="D34" s="2346"/>
      <c r="E34" s="2347"/>
      <c r="F34" s="2304"/>
      <c r="G34" s="2298"/>
      <c r="H34" s="2326"/>
      <c r="I34" s="2317"/>
      <c r="J34" s="3856" t="s">
        <v>2828</v>
      </c>
      <c r="K34" s="3857"/>
      <c r="L34" s="2229"/>
      <c r="M34" s="2229"/>
      <c r="N34" s="2229"/>
      <c r="O34" s="2229"/>
      <c r="P34" s="2229"/>
      <c r="Q34" s="2230"/>
      <c r="R34" s="2348">
        <f>SUM(L34:Q34)</f>
        <v>0</v>
      </c>
      <c r="S34" s="2290"/>
      <c r="T34" s="2209"/>
      <c r="U34" s="2209" t="e">
        <f>ROUND(R35*10000/365/R33,1)</f>
        <v>#DIV/0!</v>
      </c>
      <c r="V34" s="2217"/>
    </row>
    <row r="35" spans="1:23" s="2221" customFormat="1" ht="13.2"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2" customHeight="1" thickBot="1">
      <c r="A36" s="2299">
        <v>7</v>
      </c>
      <c r="B36" s="2354" t="s">
        <v>2927</v>
      </c>
      <c r="C36" s="2355"/>
      <c r="D36" s="2356"/>
      <c r="E36" s="2357"/>
      <c r="F36" s="2358">
        <f>C36+D36+E36</f>
        <v>0</v>
      </c>
      <c r="G36" s="2298"/>
      <c r="H36" s="2216"/>
      <c r="I36" s="2217"/>
      <c r="J36" s="3861">
        <v>1</v>
      </c>
      <c r="K36" s="3862" t="s">
        <v>2928</v>
      </c>
      <c r="L36" s="2242"/>
      <c r="M36" s="2243"/>
      <c r="N36" s="2243"/>
      <c r="O36" s="2243"/>
      <c r="P36" s="2243"/>
      <c r="Q36" s="2243"/>
      <c r="R36" s="2226" t="s">
        <v>2840</v>
      </c>
      <c r="S36" s="2290"/>
      <c r="T36" s="2209" t="s">
        <v>2841</v>
      </c>
      <c r="U36" s="2209"/>
      <c r="V36" s="2217"/>
    </row>
    <row r="37" spans="1:23" s="2221" customFormat="1" ht="13.2" customHeight="1">
      <c r="A37" s="2299"/>
      <c r="B37" s="2300"/>
      <c r="C37" s="2300"/>
      <c r="D37" s="2300"/>
      <c r="E37" s="2300"/>
      <c r="F37" s="2304"/>
      <c r="G37" s="2298"/>
      <c r="H37" s="2216"/>
      <c r="I37" s="2217"/>
      <c r="J37" s="3861"/>
      <c r="K37" s="3863"/>
      <c r="L37" s="2251"/>
      <c r="M37" s="2252"/>
      <c r="N37" s="2228"/>
      <c r="O37" s="2253"/>
      <c r="P37" s="2253"/>
      <c r="Q37" s="2254"/>
      <c r="R37" s="2255"/>
      <c r="S37" s="2290"/>
      <c r="T37" s="2209" t="s">
        <v>2844</v>
      </c>
      <c r="U37" s="2209"/>
      <c r="V37" s="2217"/>
    </row>
    <row r="38" spans="1:23" s="2221" customFormat="1" ht="13.2" customHeight="1">
      <c r="A38" s="2299">
        <v>8</v>
      </c>
      <c r="B38" s="2300"/>
      <c r="C38" s="2257" t="e">
        <f>ROUND(C32*(1-((1+C35)/(1+C34))^C36)/(C34-C35),0)</f>
        <v>#DIV/0!</v>
      </c>
      <c r="D38" s="2257">
        <f>IF(D23=0,0,ROUND(D32*(1-((1+D35)/(1+D34))^D36)/(D34-D35),0))</f>
        <v>0</v>
      </c>
      <c r="E38" s="2257">
        <f>IF(E23=0,0,ROUND(E32*(1-((1+E35)/(1+E34))^E36)/(E34-E35),0))</f>
        <v>0</v>
      </c>
      <c r="F38" s="2304"/>
      <c r="G38" s="2298"/>
      <c r="H38" s="2216"/>
      <c r="I38" s="2217"/>
      <c r="J38" s="3861"/>
      <c r="K38" s="3863"/>
      <c r="L38" s="2251"/>
      <c r="M38" s="2252"/>
      <c r="N38" s="2228"/>
      <c r="O38" s="2253"/>
      <c r="P38" s="2253"/>
      <c r="Q38" s="2254"/>
      <c r="R38" s="2255"/>
      <c r="S38" s="2290"/>
      <c r="T38" s="2209" t="s">
        <v>2851</v>
      </c>
      <c r="U38" s="2209"/>
      <c r="V38" s="2217"/>
    </row>
    <row r="39" spans="1:23" s="2221" customFormat="1" ht="13.2" customHeight="1">
      <c r="A39" s="2299">
        <v>9</v>
      </c>
      <c r="B39" s="2300" t="s">
        <v>2929</v>
      </c>
      <c r="C39" s="2265" t="e">
        <f>C38</f>
        <v>#DIV/0!</v>
      </c>
      <c r="D39" s="2300">
        <f>D38/(1+D34)^C36</f>
        <v>0</v>
      </c>
      <c r="E39" s="2300">
        <f>E38/(1+E34)^(C36+D36)</f>
        <v>0</v>
      </c>
      <c r="F39" s="2304"/>
      <c r="G39" s="2359"/>
      <c r="H39" s="2216"/>
      <c r="I39" s="2217"/>
      <c r="J39" s="3861"/>
      <c r="K39" s="3863"/>
      <c r="L39" s="2251"/>
      <c r="M39" s="2252"/>
      <c r="N39" s="2228"/>
      <c r="O39" s="2253"/>
      <c r="P39" s="2253"/>
      <c r="Q39" s="2254"/>
      <c r="R39" s="2255"/>
      <c r="S39" s="2290"/>
      <c r="T39" s="2209"/>
      <c r="U39" s="2209"/>
      <c r="V39" s="2217"/>
    </row>
    <row r="40" spans="1:23" s="2221" customFormat="1" ht="13.2" customHeight="1">
      <c r="A40" s="2360">
        <v>10</v>
      </c>
      <c r="B40" s="2300" t="s">
        <v>2930</v>
      </c>
      <c r="C40" s="2361" t="e">
        <f>C39+D39+E39</f>
        <v>#DIV/0!</v>
      </c>
      <c r="D40" s="2362"/>
      <c r="E40" s="2362"/>
      <c r="F40" s="2363"/>
      <c r="G40" s="2298"/>
      <c r="H40" s="2216"/>
      <c r="I40" s="2217"/>
      <c r="J40" s="3861"/>
      <c r="K40" s="3864"/>
      <c r="L40" s="2271" t="s">
        <v>2869</v>
      </c>
      <c r="M40" s="2272"/>
      <c r="N40" s="2272"/>
      <c r="O40" s="2273"/>
      <c r="P40" s="2273"/>
      <c r="Q40" s="2274"/>
      <c r="R40" s="2220">
        <f>SUM(R37:R39)</f>
        <v>0</v>
      </c>
      <c r="S40" s="2290"/>
      <c r="T40" s="2209"/>
      <c r="U40" s="2209"/>
      <c r="V40" s="2217"/>
    </row>
    <row r="41" spans="1:23" s="2221" customFormat="1" ht="13.2"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2" customHeight="1">
      <c r="G42" s="2368"/>
      <c r="H42" s="2216"/>
      <c r="I42" s="2217"/>
      <c r="J42" s="3871">
        <v>3</v>
      </c>
      <c r="K42" s="2319" t="s">
        <v>2911</v>
      </c>
      <c r="L42" s="2320"/>
      <c r="M42" s="2321"/>
      <c r="N42" s="2322" t="s">
        <v>2912</v>
      </c>
      <c r="O42" s="2322" t="s">
        <v>2913</v>
      </c>
      <c r="P42" s="2323" t="s">
        <v>2914</v>
      </c>
      <c r="Q42" s="2323" t="s">
        <v>2915</v>
      </c>
      <c r="R42" s="2226" t="s">
        <v>2840</v>
      </c>
      <c r="S42" s="2324"/>
      <c r="T42" s="2324"/>
      <c r="U42" s="2209"/>
      <c r="V42" s="2217"/>
    </row>
    <row r="43" spans="1:23" ht="13.2" customHeight="1">
      <c r="A43" s="2221"/>
      <c r="B43" s="2221"/>
      <c r="C43" s="2221"/>
      <c r="D43" s="2221"/>
      <c r="E43" s="2221"/>
      <c r="F43" s="2221"/>
      <c r="I43" s="2204"/>
      <c r="J43" s="3872"/>
      <c r="K43" s="2327"/>
      <c r="L43" s="2328"/>
      <c r="M43" s="2329"/>
      <c r="N43" s="2252"/>
      <c r="O43" s="2252"/>
      <c r="P43" s="2252"/>
      <c r="Q43" s="2316"/>
      <c r="R43" s="2287">
        <f>ROUND(O43*N43*P43*(1-Q43)/10000,0)</f>
        <v>0</v>
      </c>
      <c r="S43" s="2290"/>
      <c r="T43" s="2209"/>
      <c r="V43" s="2370"/>
      <c r="W43" s="2371"/>
    </row>
    <row r="44" spans="1:23" ht="13.2"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3.8"/>
  <cols>
    <col min="1" max="1" width="23.6640625" style="1283" customWidth="1"/>
    <col min="2" max="2" width="12" style="1283" customWidth="1"/>
    <col min="3" max="3" width="9" style="1283"/>
    <col min="4" max="4" width="14.109375" style="1283" customWidth="1"/>
    <col min="5" max="5" width="9" style="1283"/>
    <col min="6" max="6" width="12.88671875" style="1283" customWidth="1"/>
    <col min="7" max="16384" width="9" style="1283"/>
  </cols>
  <sheetData>
    <row r="1" spans="1:22" ht="21.6">
      <c r="A1" s="1459" t="s">
        <v>2104</v>
      </c>
      <c r="B1" s="1460"/>
      <c r="C1" s="1460"/>
      <c r="D1" s="1460"/>
      <c r="E1" s="1461"/>
      <c r="F1" s="2095"/>
      <c r="G1" s="1295"/>
      <c r="H1" s="1295"/>
      <c r="I1" s="1295"/>
      <c r="J1" s="1295"/>
      <c r="K1" s="1295"/>
      <c r="L1" s="1295"/>
      <c r="M1" s="1295"/>
      <c r="N1" s="1295"/>
      <c r="O1" s="1295"/>
      <c r="P1" s="1295"/>
      <c r="Q1" s="1295"/>
      <c r="R1" s="1295"/>
      <c r="S1" s="1295"/>
    </row>
    <row r="2" spans="1:22" ht="15.6">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6">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6">
      <c r="A4" s="2100"/>
      <c r="B4" s="2097"/>
      <c r="C4" s="2097"/>
      <c r="D4" s="2097"/>
      <c r="E4" s="2099"/>
      <c r="F4" s="2095"/>
      <c r="G4" s="1295"/>
      <c r="H4" s="1295"/>
      <c r="I4" s="1295"/>
      <c r="J4" s="1295"/>
      <c r="K4" s="1295"/>
      <c r="L4" s="1295"/>
      <c r="M4" s="1295"/>
      <c r="N4" s="1295"/>
      <c r="O4" s="1295"/>
      <c r="P4" s="1295"/>
      <c r="Q4" s="1295"/>
      <c r="R4" s="1295"/>
      <c r="S4" s="1295"/>
    </row>
    <row r="5" spans="1:22" ht="14.4">
      <c r="A5" s="2021" t="s">
        <v>2099</v>
      </c>
      <c r="B5" s="3873" t="s">
        <v>2100</v>
      </c>
      <c r="C5" s="3874"/>
      <c r="D5" s="2096"/>
      <c r="E5" s="1466" t="s">
        <v>2101</v>
      </c>
      <c r="F5" s="1467" t="s">
        <v>2102</v>
      </c>
      <c r="G5" s="1295"/>
      <c r="H5" s="1295"/>
      <c r="I5" s="1295"/>
      <c r="J5" s="1295"/>
      <c r="K5" s="1295"/>
      <c r="L5" s="1295"/>
      <c r="M5" s="1295"/>
      <c r="N5" s="1295"/>
      <c r="O5" s="1295"/>
      <c r="P5" s="1295"/>
      <c r="Q5" s="1295"/>
      <c r="R5" s="1295"/>
      <c r="S5" s="1295"/>
    </row>
    <row r="6" spans="1:22" ht="14.4">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ht="14.4">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ht="14.4">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ht="14.4">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ht="14.4">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ht="14.4">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ht="14.4">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M43" sqref="M43"/>
    </sheetView>
  </sheetViews>
  <sheetFormatPr defaultColWidth="9" defaultRowHeight="13.8"/>
  <cols>
    <col min="1" max="1" width="10.44140625" style="2693" customWidth="1"/>
    <col min="2" max="2" width="15.77734375" style="2693" customWidth="1"/>
    <col min="3" max="3" width="21.88671875" style="2693" customWidth="1"/>
    <col min="4" max="4" width="12.21875" style="2693" customWidth="1"/>
    <col min="5" max="5" width="14.33203125" style="2693" customWidth="1"/>
    <col min="6" max="6" width="12.21875" style="2693" customWidth="1"/>
    <col min="7" max="7" width="14.44140625" style="2693" customWidth="1"/>
    <col min="8" max="8" width="12.21875" style="2693" customWidth="1"/>
    <col min="9" max="9" width="14.44140625" style="2693" customWidth="1"/>
    <col min="10" max="15" width="12.21875" style="2693" customWidth="1"/>
    <col min="16" max="16" width="4.77734375" style="2812" customWidth="1"/>
    <col min="17" max="17" width="19.44140625" style="2693" customWidth="1"/>
    <col min="18" max="22" width="6.109375" style="2693" customWidth="1"/>
    <col min="23" max="23" width="5.77734375" style="2693" customWidth="1"/>
    <col min="24" max="24" width="4.21875" style="2693" customWidth="1"/>
    <col min="25" max="25" width="3.44140625" style="2693" customWidth="1"/>
    <col min="26" max="26" width="19.77734375" style="2693" customWidth="1"/>
    <col min="27" max="28" width="9.33203125" style="2693" customWidth="1"/>
    <col min="29" max="16384" width="9" style="2693"/>
  </cols>
  <sheetData>
    <row r="1" spans="1:29" s="2705" customFormat="1" ht="28.5" customHeight="1" thickBot="1">
      <c r="A1" s="2694" t="s">
        <v>2106</v>
      </c>
      <c r="B1" s="2695" t="s">
        <v>2107</v>
      </c>
      <c r="C1" s="2696" t="s">
        <v>2108</v>
      </c>
      <c r="D1" s="2697" t="s">
        <v>3179</v>
      </c>
      <c r="E1" s="2698"/>
      <c r="F1" s="2699" t="s">
        <v>2109</v>
      </c>
      <c r="G1" s="2700" t="s">
        <v>2110</v>
      </c>
      <c r="H1" s="2701"/>
      <c r="I1" s="2701"/>
      <c r="J1" s="2701"/>
      <c r="K1" s="2696"/>
      <c r="L1" s="2701"/>
      <c r="M1" s="2696"/>
      <c r="N1" s="2696"/>
      <c r="O1" s="2696"/>
      <c r="P1" s="2702"/>
      <c r="Q1" s="2703"/>
      <c r="R1" s="2703"/>
      <c r="S1" s="2703"/>
      <c r="T1" s="2703"/>
      <c r="U1" s="2703"/>
      <c r="V1" s="2703"/>
      <c r="W1" s="2703"/>
      <c r="X1" s="2703"/>
      <c r="Y1" s="2703"/>
      <c r="Z1" s="2703"/>
      <c r="AA1" s="2703"/>
      <c r="AB1" s="2703"/>
      <c r="AC1" s="2704"/>
    </row>
    <row r="2" spans="1:29" s="2718" customFormat="1" ht="28.5" customHeight="1" thickTop="1">
      <c r="A2" s="2706" t="s">
        <v>1118</v>
      </c>
      <c r="B2" s="2707">
        <f>IF(C2="——",ROUND(C49*D3/10000,0),ROUND(C49*D3/10000,0)-D2)</f>
        <v>488426</v>
      </c>
      <c r="C2" s="2708" t="s">
        <v>70</v>
      </c>
      <c r="D2" s="2709" t="e">
        <f ca="1">SUMIF(INDIRECT("'"&amp;F2&amp;"'"&amp;"!A:A"),"承租人权益价值",INDIRECT("'"&amp;F2&amp;"'"&amp;"!c:c"))</f>
        <v>#REF!</v>
      </c>
      <c r="E2" s="2710" t="s">
        <v>2111</v>
      </c>
      <c r="F2" s="2711"/>
      <c r="G2" s="2528"/>
      <c r="H2" s="2528"/>
      <c r="I2" s="2528"/>
      <c r="J2" s="2528"/>
      <c r="K2" s="2712"/>
      <c r="L2" s="2713"/>
      <c r="M2" s="2714"/>
      <c r="N2" s="2714"/>
      <c r="O2" s="2714"/>
      <c r="P2" s="2715"/>
      <c r="Q2" s="2716"/>
      <c r="R2" s="2716"/>
      <c r="S2" s="2716"/>
      <c r="T2" s="2716"/>
      <c r="U2" s="2716"/>
      <c r="V2" s="2716"/>
      <c r="W2" s="2716"/>
      <c r="X2" s="2716"/>
      <c r="Y2" s="2716"/>
      <c r="Z2" s="2716"/>
      <c r="AA2" s="2716"/>
      <c r="AB2" s="2716"/>
      <c r="AC2" s="2717"/>
    </row>
    <row r="3" spans="1:29" s="2718" customFormat="1" ht="28.5" customHeight="1" thickBot="1">
      <c r="A3" s="2483" t="s">
        <v>1119</v>
      </c>
      <c r="B3" s="2719">
        <f>IF(C2="——",C49,ROUND(B2*10000/D3,0))</f>
        <v>66759</v>
      </c>
      <c r="C3" s="2720" t="s">
        <v>2112</v>
      </c>
      <c r="D3" s="2719">
        <f>IF(D1="",'数据-汇总表'!E3,SUMIF('数据-汇总表'!$C19:$C33,D1,'数据-汇总表'!$E19:$E33))</f>
        <v>73162.550000000017</v>
      </c>
      <c r="E3" s="2528"/>
      <c r="F3" s="2721"/>
      <c r="G3" s="2528"/>
      <c r="H3" s="2528"/>
      <c r="I3" s="2528"/>
      <c r="J3" s="2528"/>
      <c r="K3" s="2712"/>
      <c r="L3" s="2713"/>
      <c r="M3" s="2714"/>
      <c r="N3" s="2714"/>
      <c r="O3" s="2714"/>
      <c r="P3" s="2715"/>
      <c r="Q3" s="2716"/>
      <c r="R3" s="2716"/>
      <c r="S3" s="2716"/>
      <c r="T3" s="2716"/>
      <c r="U3" s="2716"/>
      <c r="V3" s="2716"/>
      <c r="W3" s="2716"/>
      <c r="X3" s="2716"/>
      <c r="Y3" s="2716"/>
      <c r="Z3" s="2716"/>
      <c r="AA3" s="2716"/>
      <c r="AB3" s="2716"/>
      <c r="AC3" s="2722"/>
    </row>
    <row r="4" spans="1:29" ht="14.4">
      <c r="A4" s="2723" t="s">
        <v>2113</v>
      </c>
      <c r="B4" s="2724"/>
      <c r="C4" s="3820" t="s">
        <v>2114</v>
      </c>
      <c r="D4" s="3821"/>
      <c r="E4" s="3822" t="s">
        <v>2115</v>
      </c>
      <c r="F4" s="3823"/>
      <c r="G4" s="3820" t="s">
        <v>2116</v>
      </c>
      <c r="H4" s="3821"/>
      <c r="I4" s="3820" t="s">
        <v>2117</v>
      </c>
      <c r="J4" s="3821"/>
      <c r="K4" s="2725" t="s">
        <v>2118</v>
      </c>
      <c r="L4" s="2726"/>
      <c r="M4" s="2727"/>
      <c r="N4" s="2727"/>
      <c r="O4" s="2727"/>
      <c r="P4" s="3885" t="s">
        <v>2119</v>
      </c>
      <c r="Q4" s="3886"/>
      <c r="R4" s="3880" t="s">
        <v>2115</v>
      </c>
      <c r="S4" s="3881"/>
      <c r="T4" s="3880" t="s">
        <v>2116</v>
      </c>
      <c r="U4" s="3881"/>
      <c r="V4" s="3838" t="s">
        <v>2117</v>
      </c>
      <c r="W4" s="3838"/>
      <c r="X4" s="2729"/>
      <c r="Y4" s="3880" t="s">
        <v>2119</v>
      </c>
      <c r="Z4" s="3881"/>
      <c r="AA4" s="3875" t="s">
        <v>2115</v>
      </c>
      <c r="AB4" s="3875" t="s">
        <v>2116</v>
      </c>
      <c r="AC4" s="3875" t="s">
        <v>2117</v>
      </c>
    </row>
    <row r="5" spans="1:29">
      <c r="A5" s="2730"/>
      <c r="B5" s="2731"/>
      <c r="C5" s="3812" t="s">
        <v>2120</v>
      </c>
      <c r="D5" s="3813"/>
      <c r="E5" s="3810" t="s">
        <v>3561</v>
      </c>
      <c r="F5" s="3811"/>
      <c r="G5" s="3812" t="s">
        <v>3562</v>
      </c>
      <c r="H5" s="3813"/>
      <c r="I5" s="3884" t="s">
        <v>3551</v>
      </c>
      <c r="J5" s="3813"/>
      <c r="K5" s="2732"/>
      <c r="L5" s="2726"/>
      <c r="M5" s="2727"/>
      <c r="N5" s="2727"/>
      <c r="O5" s="2727"/>
      <c r="P5" s="3887"/>
      <c r="Q5" s="3888"/>
      <c r="R5" s="3882"/>
      <c r="S5" s="3883"/>
      <c r="T5" s="3882"/>
      <c r="U5" s="3883"/>
      <c r="V5" s="3838"/>
      <c r="W5" s="3838"/>
      <c r="X5" s="2729"/>
      <c r="Y5" s="3882"/>
      <c r="Z5" s="3883"/>
      <c r="AA5" s="3876"/>
      <c r="AB5" s="3876"/>
      <c r="AC5" s="3876"/>
    </row>
    <row r="6" spans="1:29" ht="15" thickBot="1">
      <c r="A6" s="2735"/>
      <c r="B6" s="2604"/>
      <c r="C6" s="3814" t="s">
        <v>2124</v>
      </c>
      <c r="D6" s="3815"/>
      <c r="E6" s="3816" t="s">
        <v>2124</v>
      </c>
      <c r="F6" s="3817"/>
      <c r="G6" s="3814" t="s">
        <v>2124</v>
      </c>
      <c r="H6" s="3815"/>
      <c r="I6" s="3814" t="s">
        <v>2124</v>
      </c>
      <c r="J6" s="3815"/>
      <c r="K6" s="2732" t="s">
        <v>2125</v>
      </c>
      <c r="L6" s="2726"/>
      <c r="M6" s="2727"/>
      <c r="N6" s="2727"/>
      <c r="O6" s="2727"/>
      <c r="P6" s="3889"/>
      <c r="Q6" s="3890"/>
      <c r="R6" s="3882"/>
      <c r="S6" s="3883"/>
      <c r="T6" s="3891"/>
      <c r="U6" s="3892"/>
      <c r="V6" s="3838"/>
      <c r="W6" s="3838"/>
      <c r="X6" s="2729"/>
      <c r="Y6" s="3891"/>
      <c r="Z6" s="3892"/>
      <c r="AA6" s="3877"/>
      <c r="AB6" s="3877"/>
      <c r="AC6" s="3877"/>
    </row>
    <row r="7" spans="1:29" s="2746" customFormat="1" ht="15" thickBot="1">
      <c r="A7" s="2737" t="s">
        <v>2126</v>
      </c>
      <c r="B7" s="2738"/>
      <c r="C7" s="3596">
        <f>'数据-取费表'!B2</f>
        <v>44775</v>
      </c>
      <c r="D7" s="2536">
        <v>100</v>
      </c>
      <c r="E7" s="3436">
        <v>44743</v>
      </c>
      <c r="F7" s="2537">
        <f>SUMIF(58:58,YEAR(E7)&amp;"-"&amp;MONTH(E7),59:59)</f>
        <v>100</v>
      </c>
      <c r="G7" s="3436">
        <v>44743</v>
      </c>
      <c r="H7" s="2536">
        <f>SUMIF(58:58,YEAR(G7)&amp;"-"&amp;MONTH(G7),59:59)</f>
        <v>100</v>
      </c>
      <c r="I7" s="3436">
        <v>44743</v>
      </c>
      <c r="J7" s="2536">
        <f>SUMIF(58:58,YEAR(I7)&amp;"-"&amp;MONTH(I7),59:59)</f>
        <v>100</v>
      </c>
      <c r="K7" s="2732"/>
      <c r="L7" s="2739"/>
      <c r="M7" s="2740"/>
      <c r="N7" s="2740"/>
      <c r="O7" s="2740"/>
      <c r="P7" s="3878" t="s">
        <v>2127</v>
      </c>
      <c r="Q7" s="3893"/>
      <c r="R7" s="2741" t="s">
        <v>23</v>
      </c>
      <c r="S7" s="2742">
        <f t="shared" ref="S7:S15" si="0">F7</f>
        <v>100</v>
      </c>
      <c r="T7" s="2741" t="s">
        <v>23</v>
      </c>
      <c r="U7" s="2742">
        <f t="shared" ref="U7:U15" si="1">H7</f>
        <v>100</v>
      </c>
      <c r="V7" s="2741" t="s">
        <v>23</v>
      </c>
      <c r="W7" s="2742">
        <f t="shared" ref="W7:W15" si="2">J7</f>
        <v>100</v>
      </c>
      <c r="X7" s="2743"/>
      <c r="Y7" s="3878" t="s">
        <v>2127</v>
      </c>
      <c r="Z7" s="3879"/>
      <c r="AA7" s="2745">
        <f>D7/F7</f>
        <v>1</v>
      </c>
      <c r="AB7" s="2745">
        <f>D7/H7</f>
        <v>1</v>
      </c>
      <c r="AC7" s="2745">
        <f>D7/J7</f>
        <v>1</v>
      </c>
    </row>
    <row r="8" spans="1:29" s="2746" customFormat="1" ht="15" thickBot="1">
      <c r="A8" s="2737" t="s">
        <v>2128</v>
      </c>
      <c r="B8" s="2738"/>
      <c r="C8" s="2538" t="s">
        <v>2129</v>
      </c>
      <c r="D8" s="2536">
        <v>100</v>
      </c>
      <c r="E8" s="2538" t="s">
        <v>2129</v>
      </c>
      <c r="F8" s="2537">
        <f>SUMIF(61:61,E8,62:62)-SUMIF(61:61,C8,62:62)+100</f>
        <v>100</v>
      </c>
      <c r="G8" s="2538" t="s">
        <v>2129</v>
      </c>
      <c r="H8" s="2536">
        <f>SUMIF(61:61,G8,62:62)-SUMIF(61:61,C8,62:62)+100</f>
        <v>100</v>
      </c>
      <c r="I8" s="2538" t="s">
        <v>2129</v>
      </c>
      <c r="J8" s="2536">
        <f>SUMIF(61:61,I8,62:62)-SUMIF(61:61,C8,62:62)+100</f>
        <v>100</v>
      </c>
      <c r="K8" s="2732"/>
      <c r="L8" s="2739"/>
      <c r="M8" s="2740"/>
      <c r="N8" s="2740"/>
      <c r="O8" s="2740"/>
      <c r="P8" s="3878" t="s">
        <v>2130</v>
      </c>
      <c r="Q8" s="3879"/>
      <c r="R8" s="2741" t="s">
        <v>23</v>
      </c>
      <c r="S8" s="2742">
        <f t="shared" si="0"/>
        <v>100</v>
      </c>
      <c r="T8" s="2741" t="s">
        <v>23</v>
      </c>
      <c r="U8" s="2742">
        <f t="shared" si="1"/>
        <v>100</v>
      </c>
      <c r="V8" s="2741" t="s">
        <v>23</v>
      </c>
      <c r="W8" s="2742">
        <f t="shared" si="2"/>
        <v>100</v>
      </c>
      <c r="X8" s="2743"/>
      <c r="Y8" s="3878" t="s">
        <v>2130</v>
      </c>
      <c r="Z8" s="3879"/>
      <c r="AA8" s="2745">
        <f t="shared" ref="AA8:AA19" si="3">D8/F8</f>
        <v>1</v>
      </c>
      <c r="AB8" s="2745">
        <f t="shared" ref="AB8:AB19" si="4">D8/H8</f>
        <v>1</v>
      </c>
      <c r="AC8" s="2745">
        <f t="shared" ref="AC8:AC19" si="5">D8/J8</f>
        <v>1</v>
      </c>
    </row>
    <row r="9" spans="1:29" s="2746" customFormat="1" ht="14.4">
      <c r="A9" s="2747" t="s">
        <v>2131</v>
      </c>
      <c r="B9" s="2748" t="s">
        <v>2132</v>
      </c>
      <c r="C9" s="2749" t="s">
        <v>3545</v>
      </c>
      <c r="D9" s="2540">
        <v>100</v>
      </c>
      <c r="E9" s="2749" t="s">
        <v>3545</v>
      </c>
      <c r="F9" s="2748">
        <f>SUMIF(63:63,E9,64:64)-SUMIF(63:63,C9,64:64)+100</f>
        <v>100</v>
      </c>
      <c r="G9" s="2749" t="s">
        <v>3545</v>
      </c>
      <c r="H9" s="2540">
        <f>SUMIF(63:63,G9,64:64)-SUMIF(63:63,C9,64:64)+100</f>
        <v>100</v>
      </c>
      <c r="I9" s="2749" t="s">
        <v>3545</v>
      </c>
      <c r="J9" s="2540">
        <f>SUMIF(63:63,I9,64:64)-SUMIF(63:63,C9,64:64)+100</f>
        <v>100</v>
      </c>
      <c r="K9" s="2732"/>
      <c r="L9" s="2739"/>
      <c r="M9" s="2740"/>
      <c r="N9" s="2740"/>
      <c r="O9" s="2740"/>
      <c r="P9" s="3844" t="s">
        <v>2133</v>
      </c>
      <c r="Q9" s="2649" t="str">
        <f t="shared" ref="Q9:Q15" si="6">B9</f>
        <v>用途</v>
      </c>
      <c r="R9" s="2741" t="s">
        <v>17</v>
      </c>
      <c r="S9" s="2742">
        <f t="shared" si="0"/>
        <v>100</v>
      </c>
      <c r="T9" s="2741" t="s">
        <v>17</v>
      </c>
      <c r="U9" s="2742">
        <f t="shared" si="1"/>
        <v>100</v>
      </c>
      <c r="V9" s="2741" t="s">
        <v>17</v>
      </c>
      <c r="W9" s="2742">
        <f t="shared" si="2"/>
        <v>100</v>
      </c>
      <c r="X9" s="2743"/>
      <c r="Y9" s="3777" t="s">
        <v>2134</v>
      </c>
      <c r="Z9" s="2745" t="str">
        <f t="shared" ref="Z9:Z15" si="7">Q9</f>
        <v>用途</v>
      </c>
      <c r="AA9" s="2745">
        <f t="shared" si="3"/>
        <v>1</v>
      </c>
      <c r="AB9" s="2745">
        <f t="shared" si="4"/>
        <v>1</v>
      </c>
      <c r="AC9" s="2745">
        <f t="shared" si="5"/>
        <v>1</v>
      </c>
    </row>
    <row r="10" spans="1:29" s="2757" customFormat="1" ht="28.8">
      <c r="A10" s="2751"/>
      <c r="B10" s="2752" t="s">
        <v>2135</v>
      </c>
      <c r="C10" s="2753" t="s">
        <v>3546</v>
      </c>
      <c r="D10" s="2542">
        <v>100</v>
      </c>
      <c r="E10" s="2753" t="s">
        <v>3546</v>
      </c>
      <c r="F10" s="2752">
        <f>SUMIF(65:65,E10,66:66)-SUMIF(65:65,C10,66:66)+100</f>
        <v>100</v>
      </c>
      <c r="G10" s="2753" t="s">
        <v>3546</v>
      </c>
      <c r="H10" s="2542">
        <f>SUMIF(65:65,G10,66:66)-SUMIF(65:65,C10,66:66)+100</f>
        <v>100</v>
      </c>
      <c r="I10" s="2753" t="s">
        <v>3546</v>
      </c>
      <c r="J10" s="2542">
        <f>SUMIF(65:65,I10,66:66)-SUMIF(65:65,C10,66:66)+100</f>
        <v>100</v>
      </c>
      <c r="K10" s="2754">
        <v>1</v>
      </c>
      <c r="L10" s="2755"/>
      <c r="M10" s="2756"/>
      <c r="N10" s="2756"/>
      <c r="O10" s="2756"/>
      <c r="P10" s="3844"/>
      <c r="Q10" s="2649" t="str">
        <f t="shared" si="6"/>
        <v>土地使用年限（年）</v>
      </c>
      <c r="R10" s="2741" t="s">
        <v>17</v>
      </c>
      <c r="S10" s="2742">
        <f t="shared" si="0"/>
        <v>100</v>
      </c>
      <c r="T10" s="2741" t="s">
        <v>17</v>
      </c>
      <c r="U10" s="2742">
        <f t="shared" si="1"/>
        <v>100</v>
      </c>
      <c r="V10" s="2741" t="s">
        <v>17</v>
      </c>
      <c r="W10" s="2742">
        <f t="shared" si="2"/>
        <v>100</v>
      </c>
      <c r="X10" s="2743"/>
      <c r="Y10" s="3777"/>
      <c r="Z10" s="2745" t="str">
        <f t="shared" si="7"/>
        <v>土地使用年限（年）</v>
      </c>
      <c r="AA10" s="2745">
        <f t="shared" si="3"/>
        <v>1</v>
      </c>
      <c r="AB10" s="2745">
        <f t="shared" si="4"/>
        <v>1</v>
      </c>
      <c r="AC10" s="2745">
        <f t="shared" si="5"/>
        <v>1</v>
      </c>
    </row>
    <row r="11" spans="1:29" ht="15.6" thickBot="1">
      <c r="A11" s="2758"/>
      <c r="B11" s="2752" t="s">
        <v>2136</v>
      </c>
      <c r="C11" s="2546">
        <f>'数据-汇总表'!I7</f>
        <v>1.3</v>
      </c>
      <c r="D11" s="2542">
        <v>100</v>
      </c>
      <c r="E11" s="2545">
        <v>1.5</v>
      </c>
      <c r="F11" s="2752">
        <f>LOOKUP(E11,68:68,69:69)-LOOKUP(C11,68:68,69:69)+100</f>
        <v>100</v>
      </c>
      <c r="G11" s="2546">
        <v>2.8</v>
      </c>
      <c r="H11" s="2542">
        <f>LOOKUP(G11,68:68,69:69)-LOOKUP(C11,68:68,69:69)+100</f>
        <v>97</v>
      </c>
      <c r="I11" s="2546">
        <v>1.3</v>
      </c>
      <c r="J11" s="2542">
        <f>LOOKUP(I11,68:68,69:69)-LOOKUP(C11,68:68,69:69)+100</f>
        <v>100</v>
      </c>
      <c r="K11" s="2754">
        <v>3</v>
      </c>
      <c r="L11" s="2759"/>
      <c r="M11" s="2727"/>
      <c r="N11" s="2727"/>
      <c r="O11" s="2727"/>
      <c r="P11" s="3844"/>
      <c r="Q11" s="2649" t="str">
        <f t="shared" si="6"/>
        <v>容积率</v>
      </c>
      <c r="R11" s="2741" t="s">
        <v>21</v>
      </c>
      <c r="S11" s="2742">
        <f t="shared" si="0"/>
        <v>100</v>
      </c>
      <c r="T11" s="2741" t="s">
        <v>21</v>
      </c>
      <c r="U11" s="2742">
        <f t="shared" si="1"/>
        <v>97</v>
      </c>
      <c r="V11" s="2741" t="s">
        <v>21</v>
      </c>
      <c r="W11" s="2742">
        <f t="shared" si="2"/>
        <v>100</v>
      </c>
      <c r="X11" s="2743"/>
      <c r="Y11" s="3777"/>
      <c r="Z11" s="2745" t="str">
        <f t="shared" si="7"/>
        <v>容积率</v>
      </c>
      <c r="AA11" s="2745">
        <f t="shared" si="3"/>
        <v>1</v>
      </c>
      <c r="AB11" s="2745">
        <f t="shared" si="4"/>
        <v>1.0309278350515463</v>
      </c>
      <c r="AC11" s="2745">
        <f t="shared" si="5"/>
        <v>1</v>
      </c>
    </row>
    <row r="12" spans="1:29" s="2746" customFormat="1" ht="15.6" thickTop="1">
      <c r="A12" s="2760"/>
      <c r="B12" s="3598" t="s">
        <v>3586</v>
      </c>
      <c r="C12" s="3600">
        <v>0.13</v>
      </c>
      <c r="D12" s="2549">
        <v>100</v>
      </c>
      <c r="E12" s="3600">
        <v>0</v>
      </c>
      <c r="F12" s="2752">
        <f>SUMIF(70:70,E12,71:71)-SUMIF(70:70,C12,71:71)+100</f>
        <v>113</v>
      </c>
      <c r="G12" s="3600">
        <v>0</v>
      </c>
      <c r="H12" s="2542">
        <f>SUMIF(70:70,G12,71:71)-SUMIF(70:70,C12,71:71)+100</f>
        <v>113</v>
      </c>
      <c r="I12" s="3599">
        <v>0.15</v>
      </c>
      <c r="J12" s="2542">
        <f>SUMIF(70:70,I12,71:71)-SUMIF(70:70,C12,71:71)+100</f>
        <v>98</v>
      </c>
      <c r="K12" s="2762"/>
      <c r="L12" s="2739"/>
      <c r="M12" s="2740"/>
      <c r="N12" s="2740"/>
      <c r="O12" s="2740"/>
      <c r="P12" s="3844"/>
      <c r="Q12" s="2649" t="str">
        <f t="shared" si="6"/>
        <v>政府持有比例</v>
      </c>
      <c r="R12" s="2741" t="s">
        <v>21</v>
      </c>
      <c r="S12" s="2742">
        <f t="shared" si="0"/>
        <v>113</v>
      </c>
      <c r="T12" s="2741" t="s">
        <v>21</v>
      </c>
      <c r="U12" s="2742">
        <f t="shared" si="1"/>
        <v>113</v>
      </c>
      <c r="V12" s="2741" t="s">
        <v>21</v>
      </c>
      <c r="W12" s="2742">
        <f t="shared" si="2"/>
        <v>98</v>
      </c>
      <c r="X12" s="2743"/>
      <c r="Y12" s="3777"/>
      <c r="Z12" s="2745" t="str">
        <f t="shared" si="7"/>
        <v>政府持有比例</v>
      </c>
      <c r="AA12" s="2745">
        <f>D12/F12</f>
        <v>0.88495575221238942</v>
      </c>
      <c r="AB12" s="2745">
        <f>D12/H12</f>
        <v>0.88495575221238942</v>
      </c>
      <c r="AC12" s="2745">
        <f>D12/J12</f>
        <v>1.0204081632653061</v>
      </c>
    </row>
    <row r="13" spans="1:29" ht="15">
      <c r="A13" s="2758"/>
      <c r="B13" s="2761">
        <v>111</v>
      </c>
      <c r="C13" s="2550"/>
      <c r="D13" s="2551">
        <v>100</v>
      </c>
      <c r="E13" s="2550"/>
      <c r="F13" s="2752">
        <f>SUMIF(72:72,E13,73:73)-SUMIF(72:72,C13,73:73)+100</f>
        <v>100</v>
      </c>
      <c r="G13" s="2550"/>
      <c r="H13" s="2551">
        <f>SUMIF(72:72,G13,73:73)-SUMIF(72:72,C13,73:73)+100</f>
        <v>100</v>
      </c>
      <c r="I13" s="2550"/>
      <c r="J13" s="2551">
        <f>SUMIF(72:72,I13,73:73)-SUMIF(72:72,C13,73:73)+100</f>
        <v>100</v>
      </c>
      <c r="K13" s="2762"/>
      <c r="L13" s="2763"/>
      <c r="M13" s="2727"/>
      <c r="N13" s="2727"/>
      <c r="O13" s="2727"/>
      <c r="P13" s="3844"/>
      <c r="Q13" s="2649">
        <f t="shared" si="6"/>
        <v>111</v>
      </c>
      <c r="R13" s="2741" t="s">
        <v>21</v>
      </c>
      <c r="S13" s="2742">
        <f t="shared" si="0"/>
        <v>100</v>
      </c>
      <c r="T13" s="2741" t="s">
        <v>21</v>
      </c>
      <c r="U13" s="2742">
        <f t="shared" si="1"/>
        <v>100</v>
      </c>
      <c r="V13" s="2741" t="s">
        <v>21</v>
      </c>
      <c r="W13" s="2742">
        <f t="shared" si="2"/>
        <v>100</v>
      </c>
      <c r="X13" s="2743"/>
      <c r="Y13" s="3777"/>
      <c r="Z13" s="2745">
        <f t="shared" si="7"/>
        <v>111</v>
      </c>
      <c r="AA13" s="2745">
        <f t="shared" si="3"/>
        <v>1</v>
      </c>
      <c r="AB13" s="2745">
        <f t="shared" si="4"/>
        <v>1</v>
      </c>
      <c r="AC13" s="2745">
        <f t="shared" si="5"/>
        <v>1</v>
      </c>
    </row>
    <row r="14" spans="1:29" ht="15.6" thickBot="1">
      <c r="A14" s="2764"/>
      <c r="B14" s="2765">
        <v>111</v>
      </c>
      <c r="C14" s="2552"/>
      <c r="D14" s="2553">
        <v>100</v>
      </c>
      <c r="E14" s="2552"/>
      <c r="F14" s="2766">
        <f>SUMIF(74:74,E14,75:75)-SUMIF(74:74,C14,75:75)+100</f>
        <v>100</v>
      </c>
      <c r="G14" s="2552"/>
      <c r="H14" s="2553">
        <f>SUMIF(74:74,G14,75:75)-SUMIF(74:74,C14,75:75)+100</f>
        <v>100</v>
      </c>
      <c r="I14" s="2552"/>
      <c r="J14" s="2553">
        <f>SUMIF(74:74,I14,75:75)-SUMIF(74:74,C14,75:75)+100</f>
        <v>100</v>
      </c>
      <c r="K14" s="2762"/>
      <c r="L14" s="2763"/>
      <c r="M14" s="2727"/>
      <c r="N14" s="2727"/>
      <c r="O14" s="2727"/>
      <c r="P14" s="3844"/>
      <c r="Q14" s="2649">
        <f t="shared" si="6"/>
        <v>111</v>
      </c>
      <c r="R14" s="2741" t="s">
        <v>21</v>
      </c>
      <c r="S14" s="2742">
        <f t="shared" si="0"/>
        <v>100</v>
      </c>
      <c r="T14" s="2741" t="s">
        <v>21</v>
      </c>
      <c r="U14" s="2742">
        <f t="shared" si="1"/>
        <v>100</v>
      </c>
      <c r="V14" s="2741" t="s">
        <v>21</v>
      </c>
      <c r="W14" s="2742">
        <f t="shared" si="2"/>
        <v>100</v>
      </c>
      <c r="X14" s="2743"/>
      <c r="Y14" s="3777"/>
      <c r="Z14" s="2745">
        <f t="shared" si="7"/>
        <v>111</v>
      </c>
      <c r="AA14" s="2745">
        <f t="shared" si="3"/>
        <v>1</v>
      </c>
      <c r="AB14" s="2745">
        <f t="shared" si="4"/>
        <v>1</v>
      </c>
      <c r="AC14" s="2745">
        <f t="shared" si="5"/>
        <v>1</v>
      </c>
    </row>
    <row r="15" spans="1:29" ht="110.4">
      <c r="A15" s="2767" t="s">
        <v>2137</v>
      </c>
      <c r="B15" s="2768" t="s">
        <v>1703</v>
      </c>
      <c r="C15" s="2556" t="str">
        <f>估价对象房地状况!C3</f>
        <v>周边居住用地比例一般，居住小区规模较大，周边有金盏嘉园、金河湾山庄、九章别墅等住宅项目，入住情况一般，社区发展完善程度一般，综合评价居住社区成熟度一般</v>
      </c>
      <c r="D15" s="2557">
        <v>100</v>
      </c>
      <c r="E15" s="2558" t="s">
        <v>3529</v>
      </c>
      <c r="F15" s="2557">
        <f>SUMIF(76:76,E16,77:77)-SUMIF(76:76,C16,77:77)+100</f>
        <v>100</v>
      </c>
      <c r="G15" s="2769" t="s">
        <v>3529</v>
      </c>
      <c r="H15" s="2557">
        <f>SUMIF(76:76,G16,77:77)-SUMIF(76:76,C16,77:77)+100</f>
        <v>100</v>
      </c>
      <c r="I15" s="2558" t="s">
        <v>3529</v>
      </c>
      <c r="J15" s="2557">
        <f>SUMIF(76:76,I16,77:77)-SUMIF(76:76,C16,77:77)+100</f>
        <v>100</v>
      </c>
      <c r="K15" s="2770">
        <f>'土地比较法-住宅、综合'!K15</f>
        <v>1</v>
      </c>
      <c r="L15" s="2763"/>
      <c r="M15" s="2727"/>
      <c r="N15" s="2727"/>
      <c r="O15" s="2727"/>
      <c r="P15" s="3904" t="s">
        <v>2138</v>
      </c>
      <c r="Q15" s="2605" t="str">
        <f t="shared" si="6"/>
        <v>居住社区成熟度</v>
      </c>
      <c r="R15" s="2609" t="s">
        <v>21</v>
      </c>
      <c r="S15" s="2598">
        <f t="shared" si="0"/>
        <v>100</v>
      </c>
      <c r="T15" s="2609" t="s">
        <v>21</v>
      </c>
      <c r="U15" s="2598">
        <f t="shared" si="1"/>
        <v>100</v>
      </c>
      <c r="V15" s="2609" t="s">
        <v>21</v>
      </c>
      <c r="W15" s="2598">
        <f t="shared" si="2"/>
        <v>100</v>
      </c>
      <c r="X15" s="2729"/>
      <c r="Y15" s="3897" t="s">
        <v>2138</v>
      </c>
      <c r="Z15" s="2772" t="str">
        <f t="shared" si="7"/>
        <v>居住社区成熟度</v>
      </c>
      <c r="AA15" s="2772">
        <f t="shared" si="3"/>
        <v>1</v>
      </c>
      <c r="AB15" s="2772">
        <f t="shared" si="4"/>
        <v>1</v>
      </c>
      <c r="AC15" s="2772">
        <f t="shared" si="5"/>
        <v>1</v>
      </c>
    </row>
    <row r="16" spans="1:29" ht="15">
      <c r="A16" s="2758"/>
      <c r="B16" s="2773"/>
      <c r="C16" s="2561" t="s">
        <v>3529</v>
      </c>
      <c r="D16" s="2562"/>
      <c r="E16" s="2563" t="s">
        <v>3529</v>
      </c>
      <c r="F16" s="2562"/>
      <c r="G16" s="2561" t="s">
        <v>3529</v>
      </c>
      <c r="H16" s="2564"/>
      <c r="I16" s="2563" t="s">
        <v>3529</v>
      </c>
      <c r="J16" s="2562"/>
      <c r="K16" s="2774"/>
      <c r="L16" s="2763"/>
      <c r="M16" s="2727"/>
      <c r="N16" s="2727"/>
      <c r="O16" s="2727"/>
      <c r="P16" s="3905"/>
      <c r="Q16" s="2605"/>
      <c r="R16" s="2609"/>
      <c r="S16" s="2598"/>
      <c r="T16" s="2609"/>
      <c r="U16" s="2598"/>
      <c r="V16" s="2609"/>
      <c r="W16" s="2598"/>
      <c r="X16" s="2729"/>
      <c r="Y16" s="3898"/>
      <c r="Z16" s="2772"/>
      <c r="AA16" s="2772">
        <v>1</v>
      </c>
      <c r="AB16" s="2772">
        <v>1</v>
      </c>
      <c r="AC16" s="2772">
        <v>1</v>
      </c>
    </row>
    <row r="17" spans="1:29" ht="110.4">
      <c r="A17" s="2758"/>
      <c r="B17" s="2776" t="s">
        <v>1705</v>
      </c>
      <c r="C17" s="2565" t="str">
        <f>估价对象房地状况!C6</f>
        <v>周边有规划道路，周边路网密集程度一般，道路通达程度一般，周边有306路、586路、640路、641路、847路、854路等公交线路经过，综合评价交通便捷度一般</v>
      </c>
      <c r="D17" s="2564">
        <v>100</v>
      </c>
      <c r="E17" s="2566" t="s">
        <v>3529</v>
      </c>
      <c r="F17" s="2564">
        <f>SUMIF(78:78,E18,79:79)-SUMIF(78:78,C18,79:79)+100</f>
        <v>100</v>
      </c>
      <c r="G17" s="2568" t="s">
        <v>3529</v>
      </c>
      <c r="H17" s="2567">
        <f>SUMIF(78:78,G18,79:79)-SUMIF(78:78,C18,79:79)+100</f>
        <v>100</v>
      </c>
      <c r="I17" s="2566" t="s">
        <v>3529</v>
      </c>
      <c r="J17" s="2567">
        <f>SUMIF(78:78,I18,79:79)-SUMIF(78:78,C18,79:79)+100</f>
        <v>100</v>
      </c>
      <c r="K17" s="2770">
        <f>'土地比较法-住宅、综合'!K21</f>
        <v>1</v>
      </c>
      <c r="L17" s="2763"/>
      <c r="M17" s="2727"/>
      <c r="N17" s="2727"/>
      <c r="O17" s="2727"/>
      <c r="P17" s="3905"/>
      <c r="Q17" s="2605" t="str">
        <f>B17</f>
        <v>交通便捷度</v>
      </c>
      <c r="R17" s="2609" t="s">
        <v>21</v>
      </c>
      <c r="S17" s="2598">
        <f>F17</f>
        <v>100</v>
      </c>
      <c r="T17" s="2609" t="s">
        <v>21</v>
      </c>
      <c r="U17" s="2598">
        <f>H17</f>
        <v>100</v>
      </c>
      <c r="V17" s="2609" t="s">
        <v>21</v>
      </c>
      <c r="W17" s="2598">
        <f>J17</f>
        <v>100</v>
      </c>
      <c r="X17" s="2729"/>
      <c r="Y17" s="3898"/>
      <c r="Z17" s="2772" t="str">
        <f>Q17</f>
        <v>交通便捷度</v>
      </c>
      <c r="AA17" s="2772">
        <f t="shared" si="3"/>
        <v>1</v>
      </c>
      <c r="AB17" s="2772">
        <f t="shared" si="4"/>
        <v>1</v>
      </c>
      <c r="AC17" s="2772">
        <f t="shared" si="5"/>
        <v>1</v>
      </c>
    </row>
    <row r="18" spans="1:29" ht="15">
      <c r="A18" s="2758"/>
      <c r="B18" s="2777"/>
      <c r="C18" s="2569" t="s">
        <v>3529</v>
      </c>
      <c r="D18" s="2564"/>
      <c r="E18" s="2570" t="s">
        <v>3529</v>
      </c>
      <c r="F18" s="2564"/>
      <c r="G18" s="2569" t="s">
        <v>3529</v>
      </c>
      <c r="H18" s="2562"/>
      <c r="I18" s="2570" t="s">
        <v>3529</v>
      </c>
      <c r="J18" s="2562"/>
      <c r="K18" s="2774"/>
      <c r="L18" s="2763"/>
      <c r="M18" s="2727"/>
      <c r="N18" s="2727"/>
      <c r="O18" s="2727"/>
      <c r="P18" s="3905"/>
      <c r="Q18" s="2605"/>
      <c r="R18" s="2609"/>
      <c r="S18" s="2598"/>
      <c r="T18" s="2609"/>
      <c r="U18" s="2598"/>
      <c r="V18" s="2609"/>
      <c r="W18" s="2598"/>
      <c r="X18" s="2729"/>
      <c r="Y18" s="3898"/>
      <c r="Z18" s="2772"/>
      <c r="AA18" s="2772">
        <v>1</v>
      </c>
      <c r="AB18" s="2772">
        <v>1</v>
      </c>
      <c r="AC18" s="2772">
        <v>1</v>
      </c>
    </row>
    <row r="19" spans="1:29" ht="193.2">
      <c r="A19" s="2758"/>
      <c r="B19" s="2776" t="s">
        <v>1704</v>
      </c>
      <c r="C19" s="2565"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7">
        <v>100</v>
      </c>
      <c r="E19" s="2571" t="s">
        <v>3529</v>
      </c>
      <c r="F19" s="2567">
        <f>SUMIF(80:80,E20,81:81)-SUMIF(80:80,C20,81:81)+100</f>
        <v>100</v>
      </c>
      <c r="G19" s="2572" t="s">
        <v>3529</v>
      </c>
      <c r="H19" s="2564">
        <f>SUMIF(80:80,G20,81:81)-SUMIF(80:80,C20,81:81)+100</f>
        <v>100</v>
      </c>
      <c r="I19" s="2571" t="s">
        <v>3529</v>
      </c>
      <c r="J19" s="2564">
        <f>SUMIF(80:80,I20,81:81)-SUMIF(80:80,C20,81:81)+100</f>
        <v>100</v>
      </c>
      <c r="K19" s="2770">
        <f>'土地比较法-住宅、综合'!K27</f>
        <v>1</v>
      </c>
      <c r="L19" s="2763"/>
      <c r="M19" s="2727"/>
      <c r="N19" s="2727"/>
      <c r="O19" s="2727"/>
      <c r="P19" s="3905"/>
      <c r="Q19" s="2605" t="str">
        <f>B19</f>
        <v>公共配套设施</v>
      </c>
      <c r="R19" s="2609" t="s">
        <v>21</v>
      </c>
      <c r="S19" s="2598">
        <f>F19</f>
        <v>100</v>
      </c>
      <c r="T19" s="2609" t="s">
        <v>21</v>
      </c>
      <c r="U19" s="2598">
        <f>H19</f>
        <v>100</v>
      </c>
      <c r="V19" s="2609" t="s">
        <v>21</v>
      </c>
      <c r="W19" s="2598">
        <f>J19</f>
        <v>100</v>
      </c>
      <c r="X19" s="2729"/>
      <c r="Y19" s="3898"/>
      <c r="Z19" s="2772" t="str">
        <f>Q19</f>
        <v>公共配套设施</v>
      </c>
      <c r="AA19" s="2772">
        <f t="shared" si="3"/>
        <v>1</v>
      </c>
      <c r="AB19" s="2772">
        <f t="shared" si="4"/>
        <v>1</v>
      </c>
      <c r="AC19" s="2772">
        <f t="shared" si="5"/>
        <v>1</v>
      </c>
    </row>
    <row r="20" spans="1:29" ht="15">
      <c r="A20" s="2758"/>
      <c r="B20" s="2777"/>
      <c r="C20" s="2561" t="s">
        <v>3529</v>
      </c>
      <c r="D20" s="2562"/>
      <c r="E20" s="2563" t="s">
        <v>3529</v>
      </c>
      <c r="F20" s="2562"/>
      <c r="G20" s="2561" t="s">
        <v>3529</v>
      </c>
      <c r="H20" s="2562"/>
      <c r="I20" s="2563" t="s">
        <v>3529</v>
      </c>
      <c r="J20" s="2562"/>
      <c r="K20" s="2774"/>
      <c r="L20" s="2763"/>
      <c r="M20" s="2727"/>
      <c r="N20" s="2727"/>
      <c r="O20" s="2727"/>
      <c r="P20" s="3905"/>
      <c r="Q20" s="2605"/>
      <c r="R20" s="2609"/>
      <c r="S20" s="2598"/>
      <c r="T20" s="2609"/>
      <c r="U20" s="2598"/>
      <c r="V20" s="2609"/>
      <c r="W20" s="2598"/>
      <c r="X20" s="2729"/>
      <c r="Y20" s="3898"/>
      <c r="Z20" s="2772"/>
      <c r="AA20" s="2772">
        <v>1</v>
      </c>
      <c r="AB20" s="2772">
        <v>1</v>
      </c>
      <c r="AC20" s="2772">
        <v>1</v>
      </c>
    </row>
    <row r="21" spans="1:29" ht="27.6">
      <c r="A21" s="2758"/>
      <c r="B21" s="2778" t="s">
        <v>1706</v>
      </c>
      <c r="C21" s="2565" t="str">
        <f>估价对象房地状况!C8</f>
        <v>估价对象所在区域基础设施水平</v>
      </c>
      <c r="D21" s="2564">
        <v>100</v>
      </c>
      <c r="E21" s="2572" t="s">
        <v>3531</v>
      </c>
      <c r="F21" s="2567">
        <f>SUMIF(82:82,E22,83:83)-SUMIF(82:82,C22,83:83)+100</f>
        <v>100</v>
      </c>
      <c r="G21" s="2572" t="s">
        <v>3531</v>
      </c>
      <c r="H21" s="2564">
        <f>SUMIF(82:82,G22,83:83)-SUMIF(82:82,C22,83:83)+100</f>
        <v>100</v>
      </c>
      <c r="I21" s="2572" t="s">
        <v>3531</v>
      </c>
      <c r="J21" s="2564">
        <f>SUMIF(82:82,I22,83:83)-SUMIF(82:82,C22,83:83)+100</f>
        <v>100</v>
      </c>
      <c r="K21" s="2770">
        <f>'土地比较法-住宅、综合'!K29</f>
        <v>1</v>
      </c>
      <c r="L21" s="2763"/>
      <c r="M21" s="2727"/>
      <c r="N21" s="2727"/>
      <c r="O21" s="2727"/>
      <c r="P21" s="3905"/>
      <c r="Q21" s="2605" t="str">
        <f>B21</f>
        <v>基础设施水平</v>
      </c>
      <c r="R21" s="2609" t="s">
        <v>17</v>
      </c>
      <c r="S21" s="2598">
        <f>F21</f>
        <v>100</v>
      </c>
      <c r="T21" s="2609" t="s">
        <v>17</v>
      </c>
      <c r="U21" s="2598">
        <f>H21</f>
        <v>100</v>
      </c>
      <c r="V21" s="2609" t="s">
        <v>17</v>
      </c>
      <c r="W21" s="2598">
        <f>J21</f>
        <v>100</v>
      </c>
      <c r="X21" s="2729"/>
      <c r="Y21" s="3898"/>
      <c r="Z21" s="2772" t="str">
        <f>Q21</f>
        <v>基础设施水平</v>
      </c>
      <c r="AA21" s="2772">
        <f t="shared" ref="AA21" si="8">D21/F21</f>
        <v>1</v>
      </c>
      <c r="AB21" s="2772">
        <f t="shared" ref="AB21" si="9">D21/H21</f>
        <v>1</v>
      </c>
      <c r="AC21" s="2772">
        <f t="shared" ref="AC21" si="10">D21/J21</f>
        <v>1</v>
      </c>
    </row>
    <row r="22" spans="1:29" ht="15">
      <c r="A22" s="2758"/>
      <c r="B22" s="2778"/>
      <c r="C22" s="2569" t="s">
        <v>3531</v>
      </c>
      <c r="D22" s="2562"/>
      <c r="E22" s="2561" t="s">
        <v>3531</v>
      </c>
      <c r="F22" s="2562"/>
      <c r="G22" s="2561" t="s">
        <v>3531</v>
      </c>
      <c r="H22" s="2562"/>
      <c r="I22" s="2561" t="s">
        <v>3531</v>
      </c>
      <c r="J22" s="2562"/>
      <c r="K22" s="2779"/>
      <c r="L22" s="2763"/>
      <c r="M22" s="2727"/>
      <c r="N22" s="2727"/>
      <c r="O22" s="2727"/>
      <c r="P22" s="3905"/>
      <c r="Q22" s="2605"/>
      <c r="R22" s="2609"/>
      <c r="S22" s="2598"/>
      <c r="T22" s="2609"/>
      <c r="U22" s="2598"/>
      <c r="V22" s="2609"/>
      <c r="W22" s="2598"/>
      <c r="X22" s="2729"/>
      <c r="Y22" s="3898"/>
      <c r="Z22" s="2772"/>
      <c r="AA22" s="2772">
        <v>1</v>
      </c>
      <c r="AB22" s="2772">
        <v>1</v>
      </c>
      <c r="AC22" s="2772">
        <v>1</v>
      </c>
    </row>
    <row r="23" spans="1:29" ht="82.8">
      <c r="A23" s="2758"/>
      <c r="B23" s="2776" t="s">
        <v>1707</v>
      </c>
      <c r="C23" s="2565" t="str">
        <f>估价对象房地状况!C9</f>
        <v>所处区域有温榆河、旧河湾等，自然环境较好；区域内有民航博物馆等，人文环境一般；综合评价自然及人文环境较好</v>
      </c>
      <c r="D23" s="2564">
        <v>100</v>
      </c>
      <c r="E23" s="2566" t="s">
        <v>3530</v>
      </c>
      <c r="F23" s="2564">
        <f>SUMIF(84:84,E24,85:85)-SUMIF(84:84,C24,85:85)+100</f>
        <v>100</v>
      </c>
      <c r="G23" s="2568" t="s">
        <v>3530</v>
      </c>
      <c r="H23" s="2564">
        <f>SUMIF(84:84,G24,85:85)-SUMIF(84:84,C24,85:85)+100</f>
        <v>100</v>
      </c>
      <c r="I23" s="2566" t="s">
        <v>3530</v>
      </c>
      <c r="J23" s="2564">
        <f>SUMIF(84:84,I24,85:85)-SUMIF(84:84,C24,85:85)+100</f>
        <v>100</v>
      </c>
      <c r="K23" s="2770">
        <f>'土地比较法-住宅、综合'!K25</f>
        <v>1</v>
      </c>
      <c r="L23" s="2763"/>
      <c r="M23" s="2727"/>
      <c r="N23" s="2727"/>
      <c r="O23" s="2727"/>
      <c r="P23" s="3905"/>
      <c r="Q23" s="2605" t="str">
        <f>B23</f>
        <v>自然及人文环境</v>
      </c>
      <c r="R23" s="2609" t="s">
        <v>21</v>
      </c>
      <c r="S23" s="2598">
        <f>F23</f>
        <v>100</v>
      </c>
      <c r="T23" s="2609" t="s">
        <v>21</v>
      </c>
      <c r="U23" s="2598">
        <f>H23</f>
        <v>100</v>
      </c>
      <c r="V23" s="2609" t="s">
        <v>21</v>
      </c>
      <c r="W23" s="2598">
        <f>J23</f>
        <v>100</v>
      </c>
      <c r="X23" s="2729"/>
      <c r="Y23" s="3898"/>
      <c r="Z23" s="2772" t="str">
        <f>Q23</f>
        <v>自然及人文环境</v>
      </c>
      <c r="AA23" s="2772">
        <f>D23/F23</f>
        <v>1</v>
      </c>
      <c r="AB23" s="2772">
        <f>D23/H23</f>
        <v>1</v>
      </c>
      <c r="AC23" s="2772">
        <f>D23/J23</f>
        <v>1</v>
      </c>
    </row>
    <row r="24" spans="1:29" ht="15">
      <c r="A24" s="2758"/>
      <c r="B24" s="2777"/>
      <c r="C24" s="2561" t="s">
        <v>3530</v>
      </c>
      <c r="D24" s="2562"/>
      <c r="E24" s="2563" t="s">
        <v>3530</v>
      </c>
      <c r="F24" s="2562"/>
      <c r="G24" s="2561" t="s">
        <v>3530</v>
      </c>
      <c r="H24" s="2562"/>
      <c r="I24" s="2563" t="s">
        <v>3530</v>
      </c>
      <c r="J24" s="2562"/>
      <c r="K24" s="2774"/>
      <c r="L24" s="2763"/>
      <c r="M24" s="2727"/>
      <c r="N24" s="2727"/>
      <c r="O24" s="2727"/>
      <c r="P24" s="3905"/>
      <c r="Q24" s="2605"/>
      <c r="R24" s="2609"/>
      <c r="S24" s="2598"/>
      <c r="T24" s="2609"/>
      <c r="U24" s="2598"/>
      <c r="V24" s="2609"/>
      <c r="W24" s="2598"/>
      <c r="X24" s="2729"/>
      <c r="Y24" s="3898"/>
      <c r="Z24" s="2772"/>
      <c r="AA24" s="2772">
        <v>1</v>
      </c>
      <c r="AB24" s="2772">
        <v>1</v>
      </c>
      <c r="AC24" s="2772">
        <v>1</v>
      </c>
    </row>
    <row r="25" spans="1:29" ht="15">
      <c r="A25" s="2758"/>
      <c r="B25" s="2752" t="s">
        <v>2139</v>
      </c>
      <c r="C25" s="2587"/>
      <c r="D25" s="2551">
        <v>100</v>
      </c>
      <c r="E25" s="2587"/>
      <c r="F25" s="2551">
        <f>SUMIF(86:86,E25,87:87)-SUMIF(86:86,C25,87:87)+100</f>
        <v>100</v>
      </c>
      <c r="G25" s="2780"/>
      <c r="H25" s="2551">
        <f>SUMIF(86:86,G25,87:87)-SUMIF(86:86,C25,87:87)+100</f>
        <v>100</v>
      </c>
      <c r="I25" s="2780"/>
      <c r="J25" s="2551">
        <f>SUMIF(86:86,I25,87:87)-SUMIF(86:86,C25,87:87)+100</f>
        <v>100</v>
      </c>
      <c r="K25" s="2754"/>
      <c r="L25" s="2763"/>
      <c r="M25" s="2727"/>
      <c r="N25" s="2727"/>
      <c r="O25" s="2727"/>
      <c r="P25" s="3905"/>
      <c r="Q25" s="2605" t="str">
        <f t="shared" ref="Q25:Q46" si="11">B25</f>
        <v>楼层-1</v>
      </c>
      <c r="R25" s="2609" t="s">
        <v>21</v>
      </c>
      <c r="S25" s="2598">
        <f t="shared" ref="S25:S46" si="12">F25</f>
        <v>100</v>
      </c>
      <c r="T25" s="2609" t="s">
        <v>21</v>
      </c>
      <c r="U25" s="2598">
        <f t="shared" ref="U25:U46" si="13">H25</f>
        <v>100</v>
      </c>
      <c r="V25" s="2609" t="s">
        <v>21</v>
      </c>
      <c r="W25" s="2598">
        <f t="shared" ref="W25:W46" si="14">J25</f>
        <v>100</v>
      </c>
      <c r="X25" s="2729"/>
      <c r="Y25" s="3898"/>
      <c r="Z25" s="2772" t="str">
        <f>Q25</f>
        <v>楼层-1</v>
      </c>
      <c r="AA25" s="2772">
        <f t="shared" ref="AA25:AA46" si="15">D25/F25</f>
        <v>1</v>
      </c>
      <c r="AB25" s="2772">
        <f t="shared" ref="AB25:AB46" si="16">D25/H25</f>
        <v>1</v>
      </c>
      <c r="AC25" s="2772">
        <f t="shared" ref="AC25:AC46" si="17">D25/J25</f>
        <v>1</v>
      </c>
    </row>
    <row r="26" spans="1:29" ht="15">
      <c r="A26" s="2758"/>
      <c r="B26" s="2752" t="s">
        <v>2140</v>
      </c>
      <c r="C26" s="2587"/>
      <c r="D26" s="2551">
        <v>100</v>
      </c>
      <c r="E26" s="2587"/>
      <c r="F26" s="2551">
        <f>SUMIF(88:88,E26,89:89)-SUMIF(88:88,C26,89:89)+100</f>
        <v>100</v>
      </c>
      <c r="G26" s="2780"/>
      <c r="H26" s="2551">
        <f>SUMIF(88:88,G26,89:89)-SUMIF(88:88,C26,89:89)+100</f>
        <v>100</v>
      </c>
      <c r="I26" s="2780"/>
      <c r="J26" s="2551">
        <f>SUMIF(88:88,I26,89:89)-SUMIF(88:88,C26,89:89)+100</f>
        <v>100</v>
      </c>
      <c r="K26" s="2754"/>
      <c r="L26" s="2763"/>
      <c r="M26" s="2727"/>
      <c r="N26" s="2727"/>
      <c r="O26" s="2727"/>
      <c r="P26" s="3905"/>
      <c r="Q26" s="2605" t="str">
        <f t="shared" si="11"/>
        <v>朝向</v>
      </c>
      <c r="R26" s="2609" t="s">
        <v>21</v>
      </c>
      <c r="S26" s="2598">
        <f t="shared" si="12"/>
        <v>100</v>
      </c>
      <c r="T26" s="2609" t="s">
        <v>21</v>
      </c>
      <c r="U26" s="2598">
        <f t="shared" si="13"/>
        <v>100</v>
      </c>
      <c r="V26" s="2609" t="s">
        <v>21</v>
      </c>
      <c r="W26" s="2598">
        <f t="shared" si="14"/>
        <v>100</v>
      </c>
      <c r="X26" s="2729"/>
      <c r="Y26" s="3898"/>
      <c r="Z26" s="2772" t="str">
        <f>Q26</f>
        <v>朝向</v>
      </c>
      <c r="AA26" s="2772">
        <f t="shared" si="15"/>
        <v>1</v>
      </c>
      <c r="AB26" s="2772">
        <f t="shared" si="16"/>
        <v>1</v>
      </c>
      <c r="AC26" s="2772">
        <f t="shared" si="17"/>
        <v>1</v>
      </c>
    </row>
    <row r="27" spans="1:29" s="2746" customFormat="1" ht="15">
      <c r="A27" s="2760"/>
      <c r="B27" s="2781">
        <v>111</v>
      </c>
      <c r="C27" s="2541"/>
      <c r="D27" s="2782">
        <v>100</v>
      </c>
      <c r="E27" s="2541"/>
      <c r="F27" s="2782">
        <f>SUMIF(90:90,E27,91:91)-SUMIF(90:90,C27,91:91)+100</f>
        <v>100</v>
      </c>
      <c r="G27" s="2543"/>
      <c r="H27" s="2782">
        <f>SUMIF(90:90,G27,91:91)-SUMIF(90:90,C27,91:91)+100</f>
        <v>100</v>
      </c>
      <c r="I27" s="2543"/>
      <c r="J27" s="2782">
        <f>SUMIF(90:90,I27,91:91)-SUMIF(90:90,C27,91:91)+100</f>
        <v>100</v>
      </c>
      <c r="K27" s="2762"/>
      <c r="L27" s="2739"/>
      <c r="M27" s="2740"/>
      <c r="N27" s="2740"/>
      <c r="O27" s="2740"/>
      <c r="P27" s="3905"/>
      <c r="Q27" s="2649">
        <f t="shared" si="11"/>
        <v>111</v>
      </c>
      <c r="R27" s="2741" t="s">
        <v>21</v>
      </c>
      <c r="S27" s="2742">
        <f t="shared" si="12"/>
        <v>100</v>
      </c>
      <c r="T27" s="2741" t="s">
        <v>21</v>
      </c>
      <c r="U27" s="2742">
        <f t="shared" si="13"/>
        <v>100</v>
      </c>
      <c r="V27" s="2741" t="s">
        <v>21</v>
      </c>
      <c r="W27" s="2742">
        <f t="shared" si="14"/>
        <v>100</v>
      </c>
      <c r="X27" s="2743"/>
      <c r="Y27" s="3898"/>
      <c r="Z27" s="2745">
        <f>Q27</f>
        <v>111</v>
      </c>
      <c r="AA27" s="2772">
        <f t="shared" si="15"/>
        <v>1</v>
      </c>
      <c r="AB27" s="2772">
        <f t="shared" si="16"/>
        <v>1</v>
      </c>
      <c r="AC27" s="2772">
        <f t="shared" si="17"/>
        <v>1</v>
      </c>
    </row>
    <row r="28" spans="1:29" ht="15">
      <c r="A28" s="2758"/>
      <c r="B28" s="2781">
        <v>111</v>
      </c>
      <c r="C28" s="2550"/>
      <c r="D28" s="2551">
        <v>100</v>
      </c>
      <c r="E28" s="2550"/>
      <c r="F28" s="2551">
        <f>SUMIF(92:92,E28,93:93)-SUMIF(92:92,C28,93:93)+100</f>
        <v>100</v>
      </c>
      <c r="G28" s="2783"/>
      <c r="H28" s="2551">
        <f>SUMIF(92:92,G28,93:93)-SUMIF(92:92,C28,93:93)+100</f>
        <v>100</v>
      </c>
      <c r="I28" s="2550"/>
      <c r="J28" s="2551">
        <f>SUMIF(92:92,I28,93:93)-SUMIF(92:92,C28,93:93)+100</f>
        <v>100</v>
      </c>
      <c r="K28" s="2762"/>
      <c r="L28" s="2763"/>
      <c r="M28" s="2727"/>
      <c r="N28" s="2727"/>
      <c r="O28" s="2727"/>
      <c r="P28" s="3905"/>
      <c r="Q28" s="2605">
        <f t="shared" si="11"/>
        <v>111</v>
      </c>
      <c r="R28" s="2609" t="s">
        <v>21</v>
      </c>
      <c r="S28" s="2598">
        <f t="shared" si="12"/>
        <v>100</v>
      </c>
      <c r="T28" s="2609" t="s">
        <v>21</v>
      </c>
      <c r="U28" s="2598">
        <f t="shared" si="13"/>
        <v>100</v>
      </c>
      <c r="V28" s="2609" t="s">
        <v>21</v>
      </c>
      <c r="W28" s="2598">
        <f t="shared" si="14"/>
        <v>100</v>
      </c>
      <c r="X28" s="2729"/>
      <c r="Y28" s="3898"/>
      <c r="Z28" s="2772">
        <f t="shared" ref="Z28:Z46" si="18">Q28</f>
        <v>111</v>
      </c>
      <c r="AA28" s="2772">
        <f t="shared" si="15"/>
        <v>1</v>
      </c>
      <c r="AB28" s="2772">
        <f t="shared" si="16"/>
        <v>1</v>
      </c>
      <c r="AC28" s="2772">
        <f t="shared" si="17"/>
        <v>1</v>
      </c>
    </row>
    <row r="29" spans="1:29" ht="15">
      <c r="A29" s="2758"/>
      <c r="B29" s="2781">
        <v>111</v>
      </c>
      <c r="C29" s="2550"/>
      <c r="D29" s="2551">
        <v>100</v>
      </c>
      <c r="E29" s="2550"/>
      <c r="F29" s="2551">
        <f>SUMIF(94:94,E29,95:95)-SUMIF(94:94,C29,95:95)+100</f>
        <v>100</v>
      </c>
      <c r="G29" s="2783"/>
      <c r="H29" s="2551">
        <f>SUMIF(94:94,G29,95:95)-SUMIF(94:94,C29,95:95)+100</f>
        <v>100</v>
      </c>
      <c r="I29" s="2550"/>
      <c r="J29" s="2551">
        <f>SUMIF(94:94,I29,95:95)-SUMIF(94:94,C29,95:95)+100</f>
        <v>100</v>
      </c>
      <c r="K29" s="2762"/>
      <c r="L29" s="2763"/>
      <c r="M29" s="2727"/>
      <c r="N29" s="2727"/>
      <c r="O29" s="2727"/>
      <c r="P29" s="3905"/>
      <c r="Q29" s="2605">
        <f t="shared" si="11"/>
        <v>111</v>
      </c>
      <c r="R29" s="2609" t="s">
        <v>21</v>
      </c>
      <c r="S29" s="2598">
        <f t="shared" si="12"/>
        <v>100</v>
      </c>
      <c r="T29" s="2609" t="s">
        <v>21</v>
      </c>
      <c r="U29" s="2598">
        <f t="shared" si="13"/>
        <v>100</v>
      </c>
      <c r="V29" s="2609" t="s">
        <v>21</v>
      </c>
      <c r="W29" s="2598">
        <f t="shared" si="14"/>
        <v>100</v>
      </c>
      <c r="X29" s="2729"/>
      <c r="Y29" s="3898"/>
      <c r="Z29" s="2772">
        <f t="shared" si="18"/>
        <v>111</v>
      </c>
      <c r="AA29" s="2772">
        <f t="shared" si="15"/>
        <v>1</v>
      </c>
      <c r="AB29" s="2772">
        <f t="shared" si="16"/>
        <v>1</v>
      </c>
      <c r="AC29" s="2772">
        <f t="shared" si="17"/>
        <v>1</v>
      </c>
    </row>
    <row r="30" spans="1:29" ht="15">
      <c r="A30" s="2758"/>
      <c r="B30" s="2781">
        <v>111</v>
      </c>
      <c r="C30" s="2550"/>
      <c r="D30" s="2551">
        <v>100</v>
      </c>
      <c r="E30" s="2550"/>
      <c r="F30" s="2551">
        <f>SUMIF(96:96,E30,97:97)-SUMIF(96:96,C30,97:97)+100</f>
        <v>100</v>
      </c>
      <c r="G30" s="2783"/>
      <c r="H30" s="2551">
        <f>SUMIF(96:96,G30,97:97)-SUMIF(96:96,C30,97:97)+100</f>
        <v>100</v>
      </c>
      <c r="I30" s="2550"/>
      <c r="J30" s="2551">
        <f>SUMIF(96:96,I30,97:97)-SUMIF(96:96,C30,97:97)+100</f>
        <v>100</v>
      </c>
      <c r="K30" s="2762"/>
      <c r="L30" s="2763"/>
      <c r="M30" s="2727"/>
      <c r="N30" s="2727"/>
      <c r="O30" s="2727"/>
      <c r="P30" s="3905"/>
      <c r="Q30" s="2605">
        <f t="shared" si="11"/>
        <v>111</v>
      </c>
      <c r="R30" s="2609" t="s">
        <v>21</v>
      </c>
      <c r="S30" s="2598">
        <f t="shared" si="12"/>
        <v>100</v>
      </c>
      <c r="T30" s="2609" t="s">
        <v>21</v>
      </c>
      <c r="U30" s="2598">
        <f t="shared" si="13"/>
        <v>100</v>
      </c>
      <c r="V30" s="2609" t="s">
        <v>21</v>
      </c>
      <c r="W30" s="2598">
        <f t="shared" si="14"/>
        <v>100</v>
      </c>
      <c r="X30" s="2729"/>
      <c r="Y30" s="3898"/>
      <c r="Z30" s="2772">
        <f t="shared" si="18"/>
        <v>111</v>
      </c>
      <c r="AA30" s="2772">
        <f t="shared" si="15"/>
        <v>1</v>
      </c>
      <c r="AB30" s="2772">
        <f t="shared" si="16"/>
        <v>1</v>
      </c>
      <c r="AC30" s="2772">
        <f t="shared" si="17"/>
        <v>1</v>
      </c>
    </row>
    <row r="31" spans="1:29" ht="15.6" thickBot="1">
      <c r="A31" s="2764"/>
      <c r="B31" s="2781">
        <v>111</v>
      </c>
      <c r="C31" s="2552"/>
      <c r="D31" s="2553">
        <v>100</v>
      </c>
      <c r="E31" s="2552"/>
      <c r="F31" s="2553">
        <f>SUMIF(98:98,E31,99:99)-SUMIF(98:98,C31,99:99)+100</f>
        <v>100</v>
      </c>
      <c r="G31" s="2784"/>
      <c r="H31" s="2553">
        <f>SUMIF(98:98,G31,99:99)-SUMIF(98:98,C31,99:99)+100</f>
        <v>100</v>
      </c>
      <c r="I31" s="2552"/>
      <c r="J31" s="2553">
        <f>SUMIF(98:98,I31,99:99)-SUMIF(98:98,C31,99:99)+100</f>
        <v>100</v>
      </c>
      <c r="K31" s="2762"/>
      <c r="L31" s="2763"/>
      <c r="M31" s="2727"/>
      <c r="N31" s="2727"/>
      <c r="O31" s="2727"/>
      <c r="P31" s="3905"/>
      <c r="Q31" s="2605">
        <f t="shared" si="11"/>
        <v>111</v>
      </c>
      <c r="R31" s="2609" t="s">
        <v>21</v>
      </c>
      <c r="S31" s="2598">
        <f t="shared" si="12"/>
        <v>100</v>
      </c>
      <c r="T31" s="2609" t="s">
        <v>21</v>
      </c>
      <c r="U31" s="2598">
        <f t="shared" si="13"/>
        <v>100</v>
      </c>
      <c r="V31" s="2609" t="s">
        <v>21</v>
      </c>
      <c r="W31" s="2598">
        <f t="shared" si="14"/>
        <v>100</v>
      </c>
      <c r="X31" s="2729"/>
      <c r="Y31" s="3898"/>
      <c r="Z31" s="2772">
        <f t="shared" si="18"/>
        <v>111</v>
      </c>
      <c r="AA31" s="2772">
        <f t="shared" si="15"/>
        <v>1</v>
      </c>
      <c r="AB31" s="2772">
        <f t="shared" si="16"/>
        <v>1</v>
      </c>
      <c r="AC31" s="2772">
        <f t="shared" si="17"/>
        <v>1</v>
      </c>
    </row>
    <row r="32" spans="1:29" ht="15">
      <c r="A32" s="2767" t="s">
        <v>2141</v>
      </c>
      <c r="B32" s="2748" t="s">
        <v>2142</v>
      </c>
      <c r="C32" s="2785" t="s">
        <v>3180</v>
      </c>
      <c r="D32" s="2586">
        <v>100</v>
      </c>
      <c r="E32" s="2785" t="s">
        <v>3180</v>
      </c>
      <c r="F32" s="2786">
        <f>SUMIF(100:100,E32,101:101)-SUMIF(100:100,C32,101:101)+100</f>
        <v>100</v>
      </c>
      <c r="G32" s="2785" t="s">
        <v>3550</v>
      </c>
      <c r="H32" s="2586">
        <f>SUMIF(100:100,G32,101:101)-SUMIF(100:100,C32,101:101)+100</f>
        <v>90</v>
      </c>
      <c r="I32" s="2785" t="s">
        <v>3180</v>
      </c>
      <c r="J32" s="2551">
        <f>SUMIF(100:100,I32,101:101)-SUMIF(100:100,C32,101:101)+100</f>
        <v>100</v>
      </c>
      <c r="K32" s="2754">
        <v>10</v>
      </c>
      <c r="L32" s="2763"/>
      <c r="M32" s="2727"/>
      <c r="N32" s="2727"/>
      <c r="O32" s="2727"/>
      <c r="P32" s="3899" t="s">
        <v>2143</v>
      </c>
      <c r="Q32" s="2605" t="str">
        <f t="shared" si="11"/>
        <v>建筑类型</v>
      </c>
      <c r="R32" s="2609" t="s">
        <v>21</v>
      </c>
      <c r="S32" s="2598">
        <f t="shared" si="12"/>
        <v>100</v>
      </c>
      <c r="T32" s="2609" t="s">
        <v>21</v>
      </c>
      <c r="U32" s="2598">
        <f t="shared" si="13"/>
        <v>90</v>
      </c>
      <c r="V32" s="2609" t="s">
        <v>21</v>
      </c>
      <c r="W32" s="2598">
        <f t="shared" si="14"/>
        <v>100</v>
      </c>
      <c r="X32" s="2729"/>
      <c r="Y32" s="3902" t="s">
        <v>2143</v>
      </c>
      <c r="Z32" s="2772" t="str">
        <f t="shared" si="18"/>
        <v>建筑类型</v>
      </c>
      <c r="AA32" s="2772">
        <f t="shared" si="15"/>
        <v>1</v>
      </c>
      <c r="AB32" s="2772">
        <f t="shared" si="16"/>
        <v>1.1111111111111112</v>
      </c>
      <c r="AC32" s="2772">
        <f t="shared" si="17"/>
        <v>1</v>
      </c>
    </row>
    <row r="33" spans="1:29" s="2795" customFormat="1" ht="15">
      <c r="A33" s="2787"/>
      <c r="B33" s="2752" t="s">
        <v>2144</v>
      </c>
      <c r="C33" s="2788"/>
      <c r="D33" s="2542">
        <v>100</v>
      </c>
      <c r="E33" s="2788"/>
      <c r="F33" s="2752">
        <f>LOOKUP(E33,103:103,104:104)-LOOKUP(C33,103:103,104:104)+100</f>
        <v>100</v>
      </c>
      <c r="G33" s="2546"/>
      <c r="H33" s="2542">
        <f>LOOKUP(G33,103:103,104:104)-LOOKUP(C33,103:103,104:104)+100</f>
        <v>100</v>
      </c>
      <c r="I33" s="2788"/>
      <c r="J33" s="2542">
        <f>LOOKUP(I33,103:103,104:104)-LOOKUP(C33,103:103,104:104)+100</f>
        <v>100</v>
      </c>
      <c r="K33" s="2762"/>
      <c r="L33" s="2759"/>
      <c r="M33" s="2789"/>
      <c r="N33" s="2789"/>
      <c r="O33" s="2789"/>
      <c r="P33" s="3900"/>
      <c r="Q33" s="2790" t="str">
        <f t="shared" si="11"/>
        <v>项目建筑规模</v>
      </c>
      <c r="R33" s="2791" t="s">
        <v>21</v>
      </c>
      <c r="S33" s="2792">
        <f t="shared" si="12"/>
        <v>100</v>
      </c>
      <c r="T33" s="2791" t="s">
        <v>21</v>
      </c>
      <c r="U33" s="2792">
        <f t="shared" si="13"/>
        <v>100</v>
      </c>
      <c r="V33" s="2791" t="s">
        <v>21</v>
      </c>
      <c r="W33" s="2792">
        <f t="shared" si="14"/>
        <v>100</v>
      </c>
      <c r="X33" s="2793"/>
      <c r="Y33" s="3902"/>
      <c r="Z33" s="2794" t="str">
        <f t="shared" si="18"/>
        <v>项目建筑规模</v>
      </c>
      <c r="AA33" s="2772">
        <f t="shared" si="15"/>
        <v>1</v>
      </c>
      <c r="AB33" s="2772">
        <f t="shared" si="16"/>
        <v>1</v>
      </c>
      <c r="AC33" s="2772">
        <f t="shared" si="17"/>
        <v>1</v>
      </c>
    </row>
    <row r="34" spans="1:29" ht="15">
      <c r="A34" s="2796"/>
      <c r="B34" s="2752" t="s">
        <v>2145</v>
      </c>
      <c r="C34" s="2587" t="s">
        <v>3547</v>
      </c>
      <c r="D34" s="2551">
        <v>100</v>
      </c>
      <c r="E34" s="2587" t="s">
        <v>3547</v>
      </c>
      <c r="F34" s="2786">
        <f>SUMIF(105:105,E34,106:106)-SUMIF(105:105,C34,106:106)+100</f>
        <v>100</v>
      </c>
      <c r="G34" s="2587" t="s">
        <v>3547</v>
      </c>
      <c r="H34" s="2551">
        <f>SUMIF(105:105,G34,106:106)-SUMIF(105:105,C34,106:106)+100</f>
        <v>100</v>
      </c>
      <c r="I34" s="2587" t="s">
        <v>3547</v>
      </c>
      <c r="J34" s="2551">
        <f>SUMIF(105:105,I34,106:106)-SUMIF(105:105,C34,106:106)+100</f>
        <v>100</v>
      </c>
      <c r="K34" s="2754">
        <v>1</v>
      </c>
      <c r="L34" s="2763"/>
      <c r="M34" s="2727"/>
      <c r="N34" s="2727"/>
      <c r="O34" s="2727"/>
      <c r="P34" s="3900"/>
      <c r="Q34" s="2605" t="str">
        <f t="shared" si="11"/>
        <v>建筑结构</v>
      </c>
      <c r="R34" s="2609" t="s">
        <v>21</v>
      </c>
      <c r="S34" s="2598">
        <f t="shared" si="12"/>
        <v>100</v>
      </c>
      <c r="T34" s="2609" t="s">
        <v>21</v>
      </c>
      <c r="U34" s="2598">
        <f t="shared" si="13"/>
        <v>100</v>
      </c>
      <c r="V34" s="2609" t="s">
        <v>21</v>
      </c>
      <c r="W34" s="2598">
        <f t="shared" si="14"/>
        <v>100</v>
      </c>
      <c r="X34" s="2729"/>
      <c r="Y34" s="3902"/>
      <c r="Z34" s="2772" t="str">
        <f t="shared" si="18"/>
        <v>建筑结构</v>
      </c>
      <c r="AA34" s="2772">
        <f t="shared" si="15"/>
        <v>1</v>
      </c>
      <c r="AB34" s="2772">
        <f t="shared" si="16"/>
        <v>1</v>
      </c>
      <c r="AC34" s="2772">
        <f t="shared" si="17"/>
        <v>1</v>
      </c>
    </row>
    <row r="35" spans="1:29" ht="15">
      <c r="A35" s="2796"/>
      <c r="B35" s="2752" t="s">
        <v>2146</v>
      </c>
      <c r="C35" s="2587" t="s">
        <v>3555</v>
      </c>
      <c r="D35" s="2551">
        <v>100</v>
      </c>
      <c r="E35" s="2587" t="s">
        <v>3555</v>
      </c>
      <c r="F35" s="2786">
        <f>SUMIF(107:107,E35,108:108)-SUMIF(107:107,C35,108:108)+100</f>
        <v>100</v>
      </c>
      <c r="G35" s="2587" t="s">
        <v>3555</v>
      </c>
      <c r="H35" s="2551">
        <f>SUMIF(107:107,G35,108:108)-SUMIF(107:107,C35,108:108)+100</f>
        <v>100</v>
      </c>
      <c r="I35" s="2587" t="s">
        <v>3555</v>
      </c>
      <c r="J35" s="2551">
        <f>SUMIF(107:107,I35,108:108)-SUMIF(107:107,C35,108:108)+100</f>
        <v>100</v>
      </c>
      <c r="K35" s="2754">
        <v>5</v>
      </c>
      <c r="L35" s="2763"/>
      <c r="M35" s="2727"/>
      <c r="N35" s="2727"/>
      <c r="O35" s="2727"/>
      <c r="P35" s="3900"/>
      <c r="Q35" s="2605" t="str">
        <f t="shared" si="11"/>
        <v>建筑品质</v>
      </c>
      <c r="R35" s="2609" t="s">
        <v>21</v>
      </c>
      <c r="S35" s="2598">
        <f t="shared" si="12"/>
        <v>100</v>
      </c>
      <c r="T35" s="2609" t="s">
        <v>21</v>
      </c>
      <c r="U35" s="2598">
        <f t="shared" si="13"/>
        <v>100</v>
      </c>
      <c r="V35" s="2609" t="s">
        <v>21</v>
      </c>
      <c r="W35" s="2598">
        <f t="shared" si="14"/>
        <v>100</v>
      </c>
      <c r="X35" s="2729"/>
      <c r="Y35" s="3902"/>
      <c r="Z35" s="2772" t="str">
        <f t="shared" si="18"/>
        <v>建筑品质</v>
      </c>
      <c r="AA35" s="2772">
        <f t="shared" si="15"/>
        <v>1</v>
      </c>
      <c r="AB35" s="2772">
        <f t="shared" si="16"/>
        <v>1</v>
      </c>
      <c r="AC35" s="2772">
        <f t="shared" si="17"/>
        <v>1</v>
      </c>
    </row>
    <row r="36" spans="1:29" ht="15">
      <c r="A36" s="2796"/>
      <c r="B36" s="2752" t="s">
        <v>2147</v>
      </c>
      <c r="C36" s="2587" t="s">
        <v>3548</v>
      </c>
      <c r="D36" s="2551">
        <v>100</v>
      </c>
      <c r="E36" s="2587" t="s">
        <v>3548</v>
      </c>
      <c r="F36" s="2786">
        <f>SUMIF(109:109,E36,110:110)-SUMIF(109:109,C36,110:110)+100</f>
        <v>100</v>
      </c>
      <c r="G36" s="2587" t="s">
        <v>3548</v>
      </c>
      <c r="H36" s="2551">
        <f>SUMIF(109:109,G36,110:110)-SUMIF(109:109,C36,110:110)+100</f>
        <v>100</v>
      </c>
      <c r="I36" s="2587" t="s">
        <v>3548</v>
      </c>
      <c r="J36" s="2551">
        <f>SUMIF(109:109,I36,110:110)-SUMIF(109:109,C36,110:110)+100</f>
        <v>100</v>
      </c>
      <c r="K36" s="2754">
        <v>1</v>
      </c>
      <c r="L36" s="2763"/>
      <c r="M36" s="2727"/>
      <c r="N36" s="2727"/>
      <c r="O36" s="2727"/>
      <c r="P36" s="3900"/>
      <c r="Q36" s="2605" t="str">
        <f t="shared" si="11"/>
        <v>公共部分装修</v>
      </c>
      <c r="R36" s="2609" t="s">
        <v>21</v>
      </c>
      <c r="S36" s="2598">
        <f t="shared" si="12"/>
        <v>100</v>
      </c>
      <c r="T36" s="2609" t="s">
        <v>21</v>
      </c>
      <c r="U36" s="2598">
        <f t="shared" si="13"/>
        <v>100</v>
      </c>
      <c r="V36" s="2609" t="s">
        <v>21</v>
      </c>
      <c r="W36" s="2598">
        <f t="shared" si="14"/>
        <v>100</v>
      </c>
      <c r="X36" s="2729"/>
      <c r="Y36" s="3902"/>
      <c r="Z36" s="2772" t="str">
        <f t="shared" si="18"/>
        <v>公共部分装修</v>
      </c>
      <c r="AA36" s="2772">
        <f t="shared" si="15"/>
        <v>1</v>
      </c>
      <c r="AB36" s="2772">
        <f t="shared" si="16"/>
        <v>1</v>
      </c>
      <c r="AC36" s="2772">
        <f t="shared" si="17"/>
        <v>1</v>
      </c>
    </row>
    <row r="37" spans="1:29" s="2746" customFormat="1" ht="15">
      <c r="A37" s="2797"/>
      <c r="B37" s="2752" t="s">
        <v>2148</v>
      </c>
      <c r="C37" s="2788">
        <v>1</v>
      </c>
      <c r="D37" s="2542">
        <v>100</v>
      </c>
      <c r="E37" s="2788">
        <v>1</v>
      </c>
      <c r="F37" s="2752">
        <f>LOOKUP(E37,112:112,113:113)-LOOKUP(C37,112:112,113:113)+100</f>
        <v>100</v>
      </c>
      <c r="G37" s="2788">
        <v>1</v>
      </c>
      <c r="H37" s="2542">
        <f>LOOKUP(G37,112:112,113:113)-LOOKUP(C37,112:112,113:113)+100</f>
        <v>100</v>
      </c>
      <c r="I37" s="2788">
        <v>1</v>
      </c>
      <c r="J37" s="2542">
        <f>LOOKUP(I37,112:112,113:113)-LOOKUP(C37,112:112,113:113)+100</f>
        <v>100</v>
      </c>
      <c r="K37" s="2754">
        <v>1</v>
      </c>
      <c r="L37" s="2739"/>
      <c r="M37" s="2740"/>
      <c r="N37" s="2740"/>
      <c r="O37" s="2740"/>
      <c r="P37" s="3900"/>
      <c r="Q37" s="2649" t="str">
        <f t="shared" si="11"/>
        <v>成新度</v>
      </c>
      <c r="R37" s="2741" t="s">
        <v>21</v>
      </c>
      <c r="S37" s="2742">
        <f t="shared" si="12"/>
        <v>100</v>
      </c>
      <c r="T37" s="2741" t="s">
        <v>21</v>
      </c>
      <c r="U37" s="2742">
        <f t="shared" si="13"/>
        <v>100</v>
      </c>
      <c r="V37" s="2741" t="s">
        <v>21</v>
      </c>
      <c r="W37" s="2742">
        <f t="shared" si="14"/>
        <v>100</v>
      </c>
      <c r="X37" s="2743"/>
      <c r="Y37" s="3902"/>
      <c r="Z37" s="2745" t="str">
        <f t="shared" si="18"/>
        <v>成新度</v>
      </c>
      <c r="AA37" s="2745">
        <f t="shared" si="15"/>
        <v>1</v>
      </c>
      <c r="AB37" s="2745">
        <f t="shared" si="16"/>
        <v>1</v>
      </c>
      <c r="AC37" s="2745">
        <f t="shared" si="17"/>
        <v>1</v>
      </c>
    </row>
    <row r="38" spans="1:29" ht="15">
      <c r="A38" s="2796"/>
      <c r="B38" s="2752" t="s">
        <v>2149</v>
      </c>
      <c r="C38" s="2587" t="s">
        <v>3549</v>
      </c>
      <c r="D38" s="2551">
        <v>100</v>
      </c>
      <c r="E38" s="2587" t="s">
        <v>3549</v>
      </c>
      <c r="F38" s="2786">
        <f>SUMIF(114:114,E38,115:115)-SUMIF(114:114,C38,115:115)+100</f>
        <v>100</v>
      </c>
      <c r="G38" s="2587" t="s">
        <v>3549</v>
      </c>
      <c r="H38" s="2551">
        <f>SUMIF(114:114,G38,115:115)-SUMIF(114:114,C38,115:115)+100</f>
        <v>100</v>
      </c>
      <c r="I38" s="2587" t="s">
        <v>3549</v>
      </c>
      <c r="J38" s="2551">
        <f>SUMIF(114:114,I38,115:115)-SUMIF(114:114,C38,115:115)+100</f>
        <v>100</v>
      </c>
      <c r="K38" s="2754">
        <v>1</v>
      </c>
      <c r="L38" s="2763"/>
      <c r="M38" s="2727"/>
      <c r="N38" s="2727"/>
      <c r="O38" s="2727"/>
      <c r="P38" s="3900" t="s">
        <v>2143</v>
      </c>
      <c r="Q38" s="2605" t="str">
        <f t="shared" si="11"/>
        <v>物业管理</v>
      </c>
      <c r="R38" s="2609" t="s">
        <v>21</v>
      </c>
      <c r="S38" s="2598">
        <f t="shared" si="12"/>
        <v>100</v>
      </c>
      <c r="T38" s="2609" t="s">
        <v>21</v>
      </c>
      <c r="U38" s="2598">
        <f t="shared" si="13"/>
        <v>100</v>
      </c>
      <c r="V38" s="2609" t="s">
        <v>21</v>
      </c>
      <c r="W38" s="2598">
        <f t="shared" si="14"/>
        <v>100</v>
      </c>
      <c r="X38" s="2729"/>
      <c r="Y38" s="3902" t="s">
        <v>2143</v>
      </c>
      <c r="Z38" s="2772" t="str">
        <f t="shared" si="18"/>
        <v>物业管理</v>
      </c>
      <c r="AA38" s="2772">
        <f t="shared" si="15"/>
        <v>1</v>
      </c>
      <c r="AB38" s="2772">
        <f t="shared" si="16"/>
        <v>1</v>
      </c>
      <c r="AC38" s="2772">
        <f t="shared" si="17"/>
        <v>1</v>
      </c>
    </row>
    <row r="39" spans="1:29" ht="15">
      <c r="A39" s="2796"/>
      <c r="B39" s="2752" t="s">
        <v>2150</v>
      </c>
      <c r="C39" s="2587" t="s">
        <v>3531</v>
      </c>
      <c r="D39" s="2551">
        <v>100</v>
      </c>
      <c r="E39" s="2587" t="s">
        <v>3531</v>
      </c>
      <c r="F39" s="2786">
        <f>SUMIF(116:116,E39,117:117)-SUMIF(116:116,C39,117:117)+100</f>
        <v>100</v>
      </c>
      <c r="G39" s="2587" t="s">
        <v>3531</v>
      </c>
      <c r="H39" s="2551">
        <f>SUMIF(116:116,G39,117:117)-SUMIF(116:116,C39,117:117)+100</f>
        <v>100</v>
      </c>
      <c r="I39" s="2587" t="s">
        <v>3531</v>
      </c>
      <c r="J39" s="2551">
        <f>SUMIF(116:116,I39,117:117)-SUMIF(116:116,C39,117:117)+100</f>
        <v>100</v>
      </c>
      <c r="K39" s="2754">
        <v>1</v>
      </c>
      <c r="L39" s="2763"/>
      <c r="M39" s="2727"/>
      <c r="N39" s="2727"/>
      <c r="O39" s="2727"/>
      <c r="P39" s="3900"/>
      <c r="Q39" s="2605" t="str">
        <f t="shared" si="11"/>
        <v>市政基础设施</v>
      </c>
      <c r="R39" s="2609" t="s">
        <v>21</v>
      </c>
      <c r="S39" s="2598">
        <f t="shared" si="12"/>
        <v>100</v>
      </c>
      <c r="T39" s="2609" t="s">
        <v>21</v>
      </c>
      <c r="U39" s="2598">
        <f t="shared" si="13"/>
        <v>100</v>
      </c>
      <c r="V39" s="2609" t="s">
        <v>21</v>
      </c>
      <c r="W39" s="2598">
        <f t="shared" si="14"/>
        <v>100</v>
      </c>
      <c r="X39" s="2729"/>
      <c r="Y39" s="3902"/>
      <c r="Z39" s="2772" t="str">
        <f t="shared" si="18"/>
        <v>市政基础设施</v>
      </c>
      <c r="AA39" s="2772">
        <f t="shared" si="15"/>
        <v>1</v>
      </c>
      <c r="AB39" s="2772">
        <f t="shared" si="16"/>
        <v>1</v>
      </c>
      <c r="AC39" s="2772">
        <f t="shared" si="17"/>
        <v>1</v>
      </c>
    </row>
    <row r="40" spans="1:29" ht="15">
      <c r="A40" s="2796"/>
      <c r="B40" s="2752" t="s">
        <v>2151</v>
      </c>
      <c r="C40" s="2587"/>
      <c r="D40" s="2551">
        <v>100</v>
      </c>
      <c r="E40" s="2587"/>
      <c r="F40" s="2786">
        <f>SUMIF(118:118,E40,119:119)-SUMIF(118:118,C40,119:119)+100</f>
        <v>100</v>
      </c>
      <c r="G40" s="2587"/>
      <c r="H40" s="2551">
        <f>SUMIF(118:118,G40,119:119)-SUMIF(118:118,C40,119:119)+100</f>
        <v>100</v>
      </c>
      <c r="I40" s="2587"/>
      <c r="J40" s="2551">
        <f>SUMIF(118:118,I40,119:119)-SUMIF(118:118,C40,119:119)+100</f>
        <v>100</v>
      </c>
      <c r="K40" s="2754"/>
      <c r="L40" s="2763"/>
      <c r="M40" s="2727"/>
      <c r="N40" s="2727"/>
      <c r="O40" s="2727"/>
      <c r="P40" s="3900"/>
      <c r="Q40" s="2605" t="str">
        <f t="shared" si="11"/>
        <v>房型</v>
      </c>
      <c r="R40" s="2609" t="s">
        <v>21</v>
      </c>
      <c r="S40" s="2598">
        <f t="shared" si="12"/>
        <v>100</v>
      </c>
      <c r="T40" s="2609" t="s">
        <v>21</v>
      </c>
      <c r="U40" s="2598">
        <f t="shared" si="13"/>
        <v>100</v>
      </c>
      <c r="V40" s="2609" t="s">
        <v>21</v>
      </c>
      <c r="W40" s="2598">
        <f t="shared" si="14"/>
        <v>100</v>
      </c>
      <c r="X40" s="2729"/>
      <c r="Y40" s="3902"/>
      <c r="Z40" s="2772" t="str">
        <f t="shared" si="18"/>
        <v>房型</v>
      </c>
      <c r="AA40" s="2772">
        <f t="shared" si="15"/>
        <v>1</v>
      </c>
      <c r="AB40" s="2772">
        <f t="shared" si="16"/>
        <v>1</v>
      </c>
      <c r="AC40" s="2772">
        <f t="shared" si="17"/>
        <v>1</v>
      </c>
    </row>
    <row r="41" spans="1:29" s="2795" customFormat="1" ht="28.8">
      <c r="A41" s="2787"/>
      <c r="B41" s="2752" t="s">
        <v>2152</v>
      </c>
      <c r="C41" s="2788"/>
      <c r="D41" s="2542">
        <v>100</v>
      </c>
      <c r="E41" s="2788"/>
      <c r="F41" s="2752">
        <f>SUMIF(120:120,E41,121:121)-SUMIF(120:120,C41,121:121)+100</f>
        <v>100</v>
      </c>
      <c r="G41" s="2546"/>
      <c r="H41" s="2542">
        <f>SUMIF(120:120,G41,121:121)-SUMIF(120:120,C41,121:121)+100</f>
        <v>100</v>
      </c>
      <c r="I41" s="2788"/>
      <c r="J41" s="2551">
        <f>SUMIF(120:120,I41,121:121)-SUMIF(120:120,C41,121:121)+100</f>
        <v>100</v>
      </c>
      <c r="K41" s="2762"/>
      <c r="L41" s="2759"/>
      <c r="M41" s="2789"/>
      <c r="N41" s="2789"/>
      <c r="O41" s="2789"/>
      <c r="P41" s="3900"/>
      <c r="Q41" s="2790" t="str">
        <f t="shared" si="11"/>
        <v>单套/主力户型建筑面积</v>
      </c>
      <c r="R41" s="2791" t="s">
        <v>21</v>
      </c>
      <c r="S41" s="2792">
        <f t="shared" si="12"/>
        <v>100</v>
      </c>
      <c r="T41" s="2791" t="s">
        <v>21</v>
      </c>
      <c r="U41" s="2792">
        <f t="shared" si="13"/>
        <v>100</v>
      </c>
      <c r="V41" s="2791" t="s">
        <v>21</v>
      </c>
      <c r="W41" s="2792">
        <f t="shared" si="14"/>
        <v>100</v>
      </c>
      <c r="X41" s="2793"/>
      <c r="Y41" s="3902"/>
      <c r="Z41" s="2794" t="str">
        <f t="shared" si="18"/>
        <v>单套/主力户型建筑面积</v>
      </c>
      <c r="AA41" s="2772">
        <f t="shared" si="15"/>
        <v>1</v>
      </c>
      <c r="AB41" s="2772">
        <f t="shared" si="16"/>
        <v>1</v>
      </c>
      <c r="AC41" s="2772">
        <f t="shared" si="17"/>
        <v>1</v>
      </c>
    </row>
    <row r="42" spans="1:29" ht="15">
      <c r="A42" s="2796"/>
      <c r="B42" s="2752" t="s">
        <v>2153</v>
      </c>
      <c r="C42" s="2587" t="s">
        <v>3548</v>
      </c>
      <c r="D42" s="2551">
        <v>100</v>
      </c>
      <c r="E42" s="2587" t="s">
        <v>3548</v>
      </c>
      <c r="F42" s="2786">
        <f>SUMIF(122:122,E42,123:123)-SUMIF(122:122,C42,123:123)+100</f>
        <v>100</v>
      </c>
      <c r="G42" s="2587" t="s">
        <v>3548</v>
      </c>
      <c r="H42" s="2551">
        <f>SUMIF(122:122,G42,123:123)-SUMIF(122:122,C42,123:123)+100</f>
        <v>100</v>
      </c>
      <c r="I42" s="2587" t="s">
        <v>3548</v>
      </c>
      <c r="J42" s="2551">
        <f>SUMIF(122:122,I42,123:123)-SUMIF(122:122,C42,123:123)+100</f>
        <v>100</v>
      </c>
      <c r="K42" s="2754"/>
      <c r="L42" s="2763"/>
      <c r="M42" s="2727"/>
      <c r="N42" s="2727"/>
      <c r="O42" s="2727"/>
      <c r="P42" s="3900"/>
      <c r="Q42" s="2605" t="str">
        <f t="shared" si="11"/>
        <v>内部装修</v>
      </c>
      <c r="R42" s="2609" t="s">
        <v>21</v>
      </c>
      <c r="S42" s="2598">
        <f t="shared" si="12"/>
        <v>100</v>
      </c>
      <c r="T42" s="2609" t="s">
        <v>21</v>
      </c>
      <c r="U42" s="2598">
        <f t="shared" si="13"/>
        <v>100</v>
      </c>
      <c r="V42" s="2609" t="s">
        <v>21</v>
      </c>
      <c r="W42" s="2598">
        <f t="shared" si="14"/>
        <v>100</v>
      </c>
      <c r="X42" s="2729"/>
      <c r="Y42" s="3902"/>
      <c r="Z42" s="2772" t="str">
        <f t="shared" si="18"/>
        <v>内部装修</v>
      </c>
      <c r="AA42" s="2772">
        <f t="shared" si="15"/>
        <v>1</v>
      </c>
      <c r="AB42" s="2772">
        <f t="shared" si="16"/>
        <v>1</v>
      </c>
      <c r="AC42" s="2772">
        <f t="shared" si="17"/>
        <v>1</v>
      </c>
    </row>
    <row r="43" spans="1:29" ht="28.8">
      <c r="A43" s="2796"/>
      <c r="B43" s="2752" t="s">
        <v>2154</v>
      </c>
      <c r="C43" s="2587" t="s">
        <v>3530</v>
      </c>
      <c r="D43" s="2551">
        <v>100</v>
      </c>
      <c r="E43" s="2587" t="s">
        <v>3530</v>
      </c>
      <c r="F43" s="2786">
        <f>SUMIF(124:124,E43,125:125)-SUMIF(124:124,C43,125:125)+100</f>
        <v>100</v>
      </c>
      <c r="G43" s="2587" t="s">
        <v>3530</v>
      </c>
      <c r="H43" s="2551">
        <f>SUMIF(124:124,G43,125:125)-SUMIF(124:124,C43,125:125)+100</f>
        <v>100</v>
      </c>
      <c r="I43" s="2587" t="s">
        <v>3530</v>
      </c>
      <c r="J43" s="2551">
        <f>SUMIF(124:124,I43,125:125)-SUMIF(124:124,C43,125:125)+100</f>
        <v>100</v>
      </c>
      <c r="K43" s="2754"/>
      <c r="L43" s="2763"/>
      <c r="M43" s="2727"/>
      <c r="N43" s="2727"/>
      <c r="O43" s="2727"/>
      <c r="P43" s="3900"/>
      <c r="Q43" s="2605" t="str">
        <f t="shared" si="11"/>
        <v>内部装修维护情况</v>
      </c>
      <c r="R43" s="2609" t="s">
        <v>21</v>
      </c>
      <c r="S43" s="2598">
        <f t="shared" si="12"/>
        <v>100</v>
      </c>
      <c r="T43" s="2609" t="s">
        <v>21</v>
      </c>
      <c r="U43" s="2598">
        <f t="shared" si="13"/>
        <v>100</v>
      </c>
      <c r="V43" s="2609" t="s">
        <v>21</v>
      </c>
      <c r="W43" s="2598">
        <f t="shared" si="14"/>
        <v>100</v>
      </c>
      <c r="X43" s="2729"/>
      <c r="Y43" s="3902"/>
      <c r="Z43" s="2772" t="str">
        <f t="shared" si="18"/>
        <v>内部装修维护情况</v>
      </c>
      <c r="AA43" s="2772">
        <f t="shared" si="15"/>
        <v>1</v>
      </c>
      <c r="AB43" s="2772">
        <f t="shared" si="16"/>
        <v>1</v>
      </c>
      <c r="AC43" s="2772">
        <f t="shared" si="17"/>
        <v>1</v>
      </c>
    </row>
    <row r="44" spans="1:29" s="2746" customFormat="1" ht="15">
      <c r="A44" s="2797"/>
      <c r="B44" s="2781">
        <v>111</v>
      </c>
      <c r="C44" s="2788"/>
      <c r="D44" s="2542">
        <v>100</v>
      </c>
      <c r="E44" s="2788"/>
      <c r="F44" s="2752">
        <f>SUMIF(126:126,E44,127:127)-SUMIF(126:126,C44,127:127)+100</f>
        <v>100</v>
      </c>
      <c r="G44" s="2788"/>
      <c r="H44" s="2542">
        <f>SUMIF(126:126,G44,127:127)-SUMIF(126:126,C44,127:127)+100</f>
        <v>100</v>
      </c>
      <c r="I44" s="2788"/>
      <c r="J44" s="2542">
        <f>SUMIF(126:126,I44,127:127)-SUMIF(126:126,C44,127:127)+100</f>
        <v>100</v>
      </c>
      <c r="K44" s="2762"/>
      <c r="L44" s="2739"/>
      <c r="M44" s="2740"/>
      <c r="N44" s="2740"/>
      <c r="O44" s="2740"/>
      <c r="P44" s="3900"/>
      <c r="Q44" s="2649">
        <f t="shared" si="11"/>
        <v>111</v>
      </c>
      <c r="R44" s="2741" t="s">
        <v>21</v>
      </c>
      <c r="S44" s="2742">
        <f t="shared" si="12"/>
        <v>100</v>
      </c>
      <c r="T44" s="2741" t="s">
        <v>21</v>
      </c>
      <c r="U44" s="2742">
        <f t="shared" si="13"/>
        <v>100</v>
      </c>
      <c r="V44" s="2741" t="s">
        <v>21</v>
      </c>
      <c r="W44" s="2742">
        <f t="shared" si="14"/>
        <v>100</v>
      </c>
      <c r="X44" s="2743"/>
      <c r="Y44" s="3902"/>
      <c r="Z44" s="2745">
        <f t="shared" si="18"/>
        <v>111</v>
      </c>
      <c r="AA44" s="2745">
        <f t="shared" si="15"/>
        <v>1</v>
      </c>
      <c r="AB44" s="2745">
        <f t="shared" si="16"/>
        <v>1</v>
      </c>
      <c r="AC44" s="2745">
        <f t="shared" si="17"/>
        <v>1</v>
      </c>
    </row>
    <row r="45" spans="1:29" ht="15">
      <c r="A45" s="2796"/>
      <c r="B45" s="2781">
        <v>111</v>
      </c>
      <c r="C45" s="2550"/>
      <c r="D45" s="2551">
        <v>100</v>
      </c>
      <c r="E45" s="2550"/>
      <c r="F45" s="2786">
        <f>SUMIF(128:128,E45,129:129)-SUMIF(128:128,C45,129:129)+100</f>
        <v>100</v>
      </c>
      <c r="G45" s="2550"/>
      <c r="H45" s="2551">
        <f>SUMIF(128:128,G45,129:129)-SUMIF(128:128,C45,129:129)+100</f>
        <v>100</v>
      </c>
      <c r="I45" s="2550"/>
      <c r="J45" s="2551">
        <f>SUMIF(128:128,I45,129:129)-SUMIF(128:128,C45,129:129)+100</f>
        <v>100</v>
      </c>
      <c r="K45" s="2762"/>
      <c r="L45" s="2763"/>
      <c r="M45" s="2727"/>
      <c r="N45" s="2727"/>
      <c r="O45" s="2727"/>
      <c r="P45" s="3900"/>
      <c r="Q45" s="2605">
        <f t="shared" si="11"/>
        <v>111</v>
      </c>
      <c r="R45" s="2609" t="s">
        <v>21</v>
      </c>
      <c r="S45" s="2598">
        <f t="shared" si="12"/>
        <v>100</v>
      </c>
      <c r="T45" s="2609" t="s">
        <v>21</v>
      </c>
      <c r="U45" s="2598">
        <f t="shared" si="13"/>
        <v>100</v>
      </c>
      <c r="V45" s="2609" t="s">
        <v>21</v>
      </c>
      <c r="W45" s="2598">
        <f t="shared" si="14"/>
        <v>100</v>
      </c>
      <c r="X45" s="2729"/>
      <c r="Y45" s="3902"/>
      <c r="Z45" s="2772">
        <f t="shared" si="18"/>
        <v>111</v>
      </c>
      <c r="AA45" s="2772">
        <f t="shared" si="15"/>
        <v>1</v>
      </c>
      <c r="AB45" s="2772">
        <f t="shared" si="16"/>
        <v>1</v>
      </c>
      <c r="AC45" s="2772">
        <f t="shared" si="17"/>
        <v>1</v>
      </c>
    </row>
    <row r="46" spans="1:29" ht="15.6" thickBot="1">
      <c r="A46" s="2798"/>
      <c r="B46" s="2765">
        <v>111</v>
      </c>
      <c r="C46" s="2552"/>
      <c r="D46" s="2553">
        <v>100</v>
      </c>
      <c r="E46" s="2552"/>
      <c r="F46" s="2766">
        <f>SUMIF(130:130,E46,131:131)-SUMIF(130:130,C46,131:131)+100</f>
        <v>100</v>
      </c>
      <c r="G46" s="2552"/>
      <c r="H46" s="2553">
        <f>SUMIF(130:130,G46,131:131)-SUMIF(130:130,C46,131:131)+100</f>
        <v>100</v>
      </c>
      <c r="I46" s="2552"/>
      <c r="J46" s="2553">
        <f>SUMIF(130:130,I46,131:131)-SUMIF(130:130,C46,131:131)+100</f>
        <v>100</v>
      </c>
      <c r="K46" s="2762"/>
      <c r="L46" s="2763"/>
      <c r="M46" s="2727"/>
      <c r="N46" s="2727"/>
      <c r="O46" s="2727"/>
      <c r="P46" s="3901"/>
      <c r="Q46" s="2605">
        <f t="shared" si="11"/>
        <v>111</v>
      </c>
      <c r="R46" s="2609" t="s">
        <v>20</v>
      </c>
      <c r="S46" s="2598">
        <f t="shared" si="12"/>
        <v>100</v>
      </c>
      <c r="T46" s="2609" t="s">
        <v>20</v>
      </c>
      <c r="U46" s="2598">
        <f t="shared" si="13"/>
        <v>100</v>
      </c>
      <c r="V46" s="2609" t="s">
        <v>20</v>
      </c>
      <c r="W46" s="2598">
        <f t="shared" si="14"/>
        <v>100</v>
      </c>
      <c r="X46" s="2729"/>
      <c r="Y46" s="3903"/>
      <c r="Z46" s="2772">
        <f t="shared" si="18"/>
        <v>111</v>
      </c>
      <c r="AA46" s="2772">
        <f t="shared" si="15"/>
        <v>1</v>
      </c>
      <c r="AB46" s="2772">
        <f t="shared" si="16"/>
        <v>1</v>
      </c>
      <c r="AC46" s="2772">
        <f t="shared" si="17"/>
        <v>1</v>
      </c>
    </row>
    <row r="47" spans="1:29" ht="14.4">
      <c r="A47" s="2799" t="s">
        <v>2155</v>
      </c>
      <c r="B47" s="2800"/>
      <c r="C47" s="2801" t="s">
        <v>19</v>
      </c>
      <c r="D47" s="2593"/>
      <c r="E47" s="2594">
        <v>73908</v>
      </c>
      <c r="F47" s="2595"/>
      <c r="G47" s="2596">
        <v>67905</v>
      </c>
      <c r="H47" s="2597"/>
      <c r="I47" s="2594">
        <v>64715</v>
      </c>
      <c r="J47" s="2597"/>
      <c r="K47" s="2802"/>
      <c r="L47" s="2803"/>
      <c r="M47" s="2606"/>
      <c r="N47" s="2727"/>
      <c r="O47" s="2606"/>
      <c r="P47" s="3845" t="str">
        <f>A47</f>
        <v>成交单价（元/平方米）</v>
      </c>
      <c r="Q47" s="3845"/>
      <c r="R47" s="3838">
        <f>E47</f>
        <v>73908</v>
      </c>
      <c r="S47" s="3838"/>
      <c r="T47" s="3838">
        <f>G47</f>
        <v>67905</v>
      </c>
      <c r="U47" s="3838"/>
      <c r="V47" s="3838">
        <f>I47</f>
        <v>64715</v>
      </c>
      <c r="W47" s="3838"/>
      <c r="X47" s="2613"/>
      <c r="Y47" s="2804"/>
      <c r="Z47" s="2613"/>
      <c r="AA47" s="2613"/>
      <c r="AB47" s="2613"/>
      <c r="AC47" s="2613"/>
    </row>
    <row r="48" spans="1:29" ht="15" thickBot="1">
      <c r="A48" s="2805" t="s">
        <v>2156</v>
      </c>
      <c r="B48" s="2806"/>
      <c r="C48" s="2602">
        <f>R49</f>
        <v>66759</v>
      </c>
      <c r="D48" s="2600" t="s">
        <v>2637</v>
      </c>
      <c r="E48" s="2599">
        <f>R48</f>
        <v>65405</v>
      </c>
      <c r="F48" s="2601"/>
      <c r="G48" s="2602">
        <f>T48</f>
        <v>68835</v>
      </c>
      <c r="H48" s="2601"/>
      <c r="I48" s="2599">
        <f>V48</f>
        <v>66036</v>
      </c>
      <c r="J48" s="2601"/>
      <c r="K48" s="2807">
        <f>F48+H48+J48</f>
        <v>0</v>
      </c>
      <c r="L48" s="2803"/>
      <c r="M48" s="2606"/>
      <c r="N48" s="2606"/>
      <c r="O48" s="2606"/>
      <c r="P48" s="3845" t="str">
        <f>A48</f>
        <v>比较价值（元/平方米）</v>
      </c>
      <c r="Q48" s="3845"/>
      <c r="R48" s="3838">
        <f>IF(F1="售价",ROUND(PRODUCT(R47,AA7:AA46),0),ROUND(PRODUCT(R47,AA7:AA46),1))</f>
        <v>65405</v>
      </c>
      <c r="S48" s="3838"/>
      <c r="T48" s="3838">
        <f>IF(F1="售价",ROUND(PRODUCT(T47,AB7:AB46),0),ROUND(PRODUCT(T47,AB7:AB46),1))</f>
        <v>68835</v>
      </c>
      <c r="U48" s="3838"/>
      <c r="V48" s="3838">
        <f>IF(F1="售价",ROUND(PRODUCT(V47,AC7:AC46),0),ROUND(PRODUCT(V47,AC7:AC46),1))</f>
        <v>66036</v>
      </c>
      <c r="W48" s="3838"/>
      <c r="X48" s="2613"/>
      <c r="Y48" s="2613"/>
      <c r="Z48" s="2613"/>
      <c r="AA48" s="2613"/>
      <c r="AB48" s="2613"/>
      <c r="AC48" s="2613"/>
    </row>
    <row r="49" spans="1:29" ht="15" thickBot="1">
      <c r="A49" s="2808" t="s">
        <v>2157</v>
      </c>
      <c r="B49" s="2809"/>
      <c r="C49" s="2810">
        <f>R49</f>
        <v>66759</v>
      </c>
      <c r="D49" s="2604"/>
      <c r="E49" s="2604"/>
      <c r="F49" s="2604"/>
      <c r="G49" s="2604"/>
      <c r="H49" s="2604"/>
      <c r="I49" s="2604"/>
      <c r="J49" s="2604"/>
      <c r="K49" s="2553"/>
      <c r="L49" s="2803"/>
      <c r="M49" s="2606"/>
      <c r="N49" s="2606"/>
      <c r="O49" s="2606"/>
      <c r="P49" s="3894" t="str">
        <f>A49</f>
        <v>估价对象XX用房的比较价值（楼面单价，元/平方米）</v>
      </c>
      <c r="Q49" s="3895"/>
      <c r="R49" s="3896">
        <f>IF(F1="售价",ROUND(IF(D48="简单平均",AVERAGE(R48:V48),R48*F48+T48*H48+V48*J48),0),ROUND(IF(D48="简单平均",AVERAGE(R48:V48),R48*F48+T48*H48+V48*J48),1))</f>
        <v>66759</v>
      </c>
      <c r="S49" s="3896"/>
      <c r="T49" s="3896"/>
      <c r="U49" s="3896"/>
      <c r="V49" s="3896"/>
      <c r="W49" s="3896"/>
      <c r="X49" s="2613"/>
      <c r="Y49" s="2613"/>
      <c r="Z49" s="2613"/>
      <c r="AA49" s="2613"/>
      <c r="AB49" s="2613"/>
      <c r="AC49" s="2613"/>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07" t="s">
        <v>2158</v>
      </c>
      <c r="D52" s="3437"/>
      <c r="E52" s="3438">
        <f>IF(E47&lt;E48,E48/E47-1,E47/E48-1)</f>
        <v>0.13000535127283852</v>
      </c>
      <c r="F52" s="3439" t="str">
        <f>IF(OR(E52&gt;=0.3,E52&lt;=-0.3),"超过30%","")</f>
        <v/>
      </c>
      <c r="G52" s="3438">
        <f>IF(G47&lt;G48,G48/G47-1,G47/G48-1)</f>
        <v>1.3695604152860641E-2</v>
      </c>
      <c r="H52" s="3439" t="str">
        <f>IF(OR(G52&gt;=0.3,G52&lt;=-0.3),"超过30%","")</f>
        <v/>
      </c>
      <c r="I52" s="3438">
        <f>IF(I47&lt;I48,I48/I47-1,I47/I48-1)</f>
        <v>2.0412578227613443E-2</v>
      </c>
      <c r="J52" s="3439" t="str">
        <f>IF(OR(I52&gt;=0.3,I52&lt;=-0.3),"超过30%","")</f>
        <v/>
      </c>
      <c r="K52" s="2606"/>
      <c r="L52" s="2606"/>
      <c r="M52" s="2606"/>
      <c r="N52" s="2606"/>
      <c r="O52" s="2606"/>
    </row>
    <row r="53" spans="1:29" ht="13.5" customHeight="1">
      <c r="A53" s="2606"/>
      <c r="B53" s="2606"/>
      <c r="C53" s="2607" t="s">
        <v>2159</v>
      </c>
      <c r="D53" s="3440"/>
      <c r="E53" s="3438">
        <f>IF(E48&lt;G48,G48/E48-1,E48/G48-1)</f>
        <v>5.2442473816986412E-2</v>
      </c>
      <c r="F53" s="3439" t="str">
        <f>IF(OR(E53&gt;=0.2,E53&lt;=-0.2),"超过20%","")</f>
        <v/>
      </c>
      <c r="G53" s="3438">
        <f>IF(G48&lt;I48,I48/G48-1,G48/I48-1)</f>
        <v>4.2385971288388058E-2</v>
      </c>
      <c r="H53" s="3439" t="str">
        <f>IF(OR(G53&gt;=0.2,G53&lt;=-0.2),"超过20%","")</f>
        <v/>
      </c>
      <c r="I53" s="3438">
        <f>IF(I48&lt;E48,E48/I48-1,I48/E48-1)</f>
        <v>9.6475804602094151E-3</v>
      </c>
      <c r="J53" s="3439" t="str">
        <f>IF(OR(I53&gt;=0.2,I53&lt;=-0.2),"超过20%","")</f>
        <v/>
      </c>
      <c r="K53" s="2606"/>
      <c r="L53" s="2606"/>
      <c r="M53" s="2606"/>
      <c r="N53" s="2606"/>
      <c r="O53" s="2606"/>
    </row>
    <row r="54" spans="1:29" s="2814" customFormat="1" ht="13.5" customHeight="1">
      <c r="A54" s="2612"/>
      <c r="B54" s="2612"/>
      <c r="C54" s="2607" t="s">
        <v>2160</v>
      </c>
      <c r="D54" s="3440"/>
      <c r="E54" s="3438">
        <f>IF(E47&lt;G47,G47/E47-1,E47/G47-1)</f>
        <v>8.8402915838303509E-2</v>
      </c>
      <c r="F54" s="3439" t="str">
        <f>IF(OR(E54&gt;=0.3,E54&lt;=-0.3),"超过30%","")</f>
        <v/>
      </c>
      <c r="G54" s="3438">
        <f>IF(G47&lt;I47,I47/G47-1,G47/I47-1)</f>
        <v>4.9293054160550076E-2</v>
      </c>
      <c r="H54" s="3439" t="str">
        <f>IF(OR(G54&gt;=0.3,G54&lt;=-0.3),"超过30%","")</f>
        <v/>
      </c>
      <c r="I54" s="3438">
        <f>IF(I47&lt;E47,E47/I47-1,I47/E47-1)</f>
        <v>0.14205361971722175</v>
      </c>
      <c r="J54" s="3439" t="str">
        <f>IF(OR(I54&gt;=0.3,I54&lt;=-0.3),"超过30%","")</f>
        <v/>
      </c>
      <c r="K54" s="2612"/>
      <c r="L54" s="2612"/>
      <c r="M54" s="2612"/>
      <c r="N54" s="2612"/>
      <c r="O54" s="2612"/>
      <c r="P54" s="2813"/>
    </row>
    <row r="55" spans="1:29" s="2814" customFormat="1">
      <c r="A55" s="2612"/>
      <c r="B55" s="2606"/>
      <c r="C55" s="2606"/>
      <c r="D55" s="2612"/>
      <c r="E55" s="2612"/>
      <c r="F55" s="2612"/>
      <c r="G55" s="2612"/>
      <c r="H55" s="2612"/>
      <c r="I55" s="2612"/>
      <c r="J55" s="2612"/>
      <c r="K55" s="2612"/>
      <c r="L55" s="2612"/>
      <c r="M55" s="2612"/>
      <c r="N55" s="2612"/>
      <c r="O55" s="2612"/>
      <c r="P55" s="2813"/>
    </row>
    <row r="56" spans="1:29">
      <c r="A56" s="2606"/>
      <c r="B56" s="2606"/>
      <c r="C56" s="2606"/>
      <c r="D56" s="2606"/>
      <c r="E56" s="2606"/>
      <c r="F56" s="2606"/>
      <c r="G56" s="2606"/>
      <c r="H56" s="2606"/>
      <c r="I56" s="2606"/>
      <c r="J56" s="2606"/>
      <c r="K56" s="2606"/>
      <c r="L56" s="2606"/>
      <c r="M56" s="2606"/>
      <c r="N56" s="2606"/>
      <c r="O56" s="2606"/>
    </row>
    <row r="57" spans="1:29" ht="22.2" thickBot="1">
      <c r="A57" s="2815" t="s">
        <v>2161</v>
      </c>
      <c r="B57" s="2613"/>
      <c r="C57" s="2644"/>
      <c r="D57" s="2644"/>
      <c r="E57" s="2644"/>
      <c r="F57" s="2645"/>
      <c r="G57" s="2645"/>
      <c r="H57" s="2644"/>
      <c r="I57" s="2644"/>
      <c r="J57" s="2644"/>
      <c r="K57" s="2647"/>
      <c r="L57" s="2646"/>
      <c r="M57" s="2646"/>
      <c r="N57" s="2646"/>
      <c r="O57" s="2646"/>
      <c r="P57" s="2816"/>
      <c r="Q57" s="2817"/>
    </row>
    <row r="58" spans="1:29" s="2746" customFormat="1" ht="14.4">
      <c r="A58" s="2818" t="s">
        <v>2162</v>
      </c>
      <c r="B58" s="2819"/>
      <c r="C58" s="2820" t="str">
        <f>YEAR(C7)&amp;"-"&amp;MONTH(C7)</f>
        <v>2022-8</v>
      </c>
      <c r="D58" s="3597">
        <f>EDATE(C58,-1)</f>
        <v>44743</v>
      </c>
      <c r="E58" s="3597">
        <f>EDATE(D58,-1)</f>
        <v>44713</v>
      </c>
      <c r="F58" s="3597">
        <f t="shared" ref="F58:O58" si="19">EDATE(E58,-1)</f>
        <v>44682</v>
      </c>
      <c r="G58" s="3597">
        <f t="shared" si="19"/>
        <v>44652</v>
      </c>
      <c r="H58" s="3597">
        <f t="shared" si="19"/>
        <v>44621</v>
      </c>
      <c r="I58" s="3597">
        <f t="shared" si="19"/>
        <v>44593</v>
      </c>
      <c r="J58" s="3597">
        <f t="shared" si="19"/>
        <v>44562</v>
      </c>
      <c r="K58" s="3597">
        <f t="shared" si="19"/>
        <v>44531</v>
      </c>
      <c r="L58" s="3597">
        <f t="shared" si="19"/>
        <v>44501</v>
      </c>
      <c r="M58" s="3597">
        <f t="shared" si="19"/>
        <v>44470</v>
      </c>
      <c r="N58" s="3597">
        <f t="shared" si="19"/>
        <v>44440</v>
      </c>
      <c r="O58" s="3597">
        <f t="shared" si="19"/>
        <v>44409</v>
      </c>
      <c r="P58" s="2821"/>
    </row>
    <row r="59" spans="1:29" s="2746" customFormat="1">
      <c r="A59" s="2822"/>
      <c r="B59" s="2823"/>
      <c r="C59" s="2824">
        <v>100</v>
      </c>
      <c r="D59" s="2825">
        <v>100</v>
      </c>
      <c r="E59" s="2656"/>
      <c r="F59" s="2656"/>
      <c r="G59" s="2656"/>
      <c r="H59" s="2656"/>
      <c r="I59" s="2656"/>
      <c r="J59" s="2656"/>
      <c r="K59" s="2656"/>
      <c r="L59" s="2656"/>
      <c r="M59" s="2761"/>
      <c r="N59" s="2656"/>
      <c r="O59" s="2761"/>
      <c r="P59" s="2826"/>
    </row>
    <row r="60" spans="1:29" s="2746" customFormat="1" ht="15" thickBot="1">
      <c r="A60" s="2827" t="s">
        <v>2163</v>
      </c>
      <c r="B60" s="2828"/>
      <c r="C60" s="2651"/>
      <c r="D60" s="2652"/>
      <c r="E60" s="2652"/>
      <c r="F60" s="2652"/>
      <c r="G60" s="2652"/>
      <c r="H60" s="2652"/>
      <c r="I60" s="2652"/>
      <c r="J60" s="2652"/>
      <c r="K60" s="2652"/>
      <c r="L60" s="2652"/>
      <c r="M60" s="2829"/>
      <c r="N60" s="2652"/>
      <c r="O60" s="2829"/>
      <c r="P60" s="2826"/>
      <c r="Q60" s="2817"/>
    </row>
    <row r="61" spans="1:29" s="2746" customFormat="1" ht="14.4">
      <c r="A61" s="2830" t="s">
        <v>2164</v>
      </c>
      <c r="B61" s="2831"/>
      <c r="C61" s="2653" t="s">
        <v>2165</v>
      </c>
      <c r="D61" s="2654"/>
      <c r="E61" s="2654"/>
      <c r="F61" s="2654"/>
      <c r="G61" s="2654"/>
      <c r="H61" s="2654"/>
      <c r="I61" s="2654"/>
      <c r="J61" s="2654"/>
      <c r="K61" s="2654"/>
      <c r="L61" s="2832"/>
      <c r="M61" s="2833"/>
      <c r="N61" s="2834"/>
      <c r="O61" s="2834"/>
      <c r="P61" s="2835"/>
      <c r="Q61" s="2817"/>
    </row>
    <row r="62" spans="1:29" s="2746" customFormat="1" ht="14.4" thickBot="1">
      <c r="A62" s="2830"/>
      <c r="B62" s="2831"/>
      <c r="C62" s="2825">
        <v>100</v>
      </c>
      <c r="D62" s="2656"/>
      <c r="E62" s="2656"/>
      <c r="F62" s="2656"/>
      <c r="G62" s="2656"/>
      <c r="H62" s="2656"/>
      <c r="I62" s="2656"/>
      <c r="J62" s="2656"/>
      <c r="K62" s="2656"/>
      <c r="L62" s="2656"/>
      <c r="M62" s="2836"/>
      <c r="N62" s="2834"/>
      <c r="O62" s="2834"/>
      <c r="P62" s="2826"/>
      <c r="Q62" s="2817"/>
    </row>
    <row r="63" spans="1:29" ht="14.4">
      <c r="A63" s="2767" t="s">
        <v>2166</v>
      </c>
      <c r="B63" s="2837" t="s">
        <v>2132</v>
      </c>
      <c r="C63" s="2674" t="str">
        <f>C9</f>
        <v>住宅</v>
      </c>
      <c r="D63" s="2658"/>
      <c r="E63" s="2658"/>
      <c r="F63" s="2658"/>
      <c r="G63" s="2658"/>
      <c r="H63" s="2658"/>
      <c r="I63" s="2658"/>
      <c r="J63" s="2658"/>
      <c r="K63" s="2659"/>
      <c r="L63" s="2838"/>
      <c r="M63" s="2839"/>
      <c r="N63" s="2840"/>
      <c r="O63" s="2840"/>
      <c r="P63" s="2826"/>
      <c r="Q63" s="2817"/>
    </row>
    <row r="64" spans="1:29" ht="14.4" thickBot="1">
      <c r="A64" s="2758"/>
      <c r="B64" s="2841"/>
      <c r="C64" s="2660">
        <v>100</v>
      </c>
      <c r="D64" s="2660"/>
      <c r="E64" s="2660"/>
      <c r="F64" s="2660"/>
      <c r="G64" s="2660"/>
      <c r="H64" s="2660"/>
      <c r="I64" s="2660"/>
      <c r="J64" s="2660"/>
      <c r="K64" s="2660"/>
      <c r="L64" s="2660"/>
      <c r="M64" s="2842"/>
      <c r="N64" s="2843"/>
      <c r="O64" s="2843"/>
      <c r="P64" s="2826"/>
      <c r="Q64" s="2817"/>
    </row>
    <row r="65" spans="1:17" ht="29.4" thickTop="1">
      <c r="A65" s="2758"/>
      <c r="B65" s="2844" t="s">
        <v>2135</v>
      </c>
      <c r="C65" s="2661" t="s">
        <v>2167</v>
      </c>
      <c r="D65" s="2661" t="s">
        <v>2168</v>
      </c>
      <c r="E65" s="2661" t="s">
        <v>2169</v>
      </c>
      <c r="F65" s="2661" t="s">
        <v>2170</v>
      </c>
      <c r="G65" s="2661" t="s">
        <v>2171</v>
      </c>
      <c r="H65" s="2661" t="s">
        <v>2172</v>
      </c>
      <c r="I65" s="2661" t="s">
        <v>2173</v>
      </c>
      <c r="J65" s="2661"/>
      <c r="K65" s="2662"/>
      <c r="L65" s="2845"/>
      <c r="M65" s="2846"/>
      <c r="N65" s="2840"/>
      <c r="O65" s="2840"/>
      <c r="P65" s="2826"/>
      <c r="Q65" s="2817"/>
    </row>
    <row r="66" spans="1:17" ht="14.4" thickBot="1">
      <c r="A66" s="2758"/>
      <c r="B66" s="2847"/>
      <c r="C66" s="2663">
        <v>100</v>
      </c>
      <c r="D66" s="2663">
        <f t="shared" ref="D66:I66" si="20">C66-$K10</f>
        <v>99</v>
      </c>
      <c r="E66" s="2663">
        <f t="shared" si="20"/>
        <v>98</v>
      </c>
      <c r="F66" s="2663">
        <f t="shared" si="20"/>
        <v>97</v>
      </c>
      <c r="G66" s="2663">
        <f t="shared" si="20"/>
        <v>96</v>
      </c>
      <c r="H66" s="2663">
        <f t="shared" si="20"/>
        <v>95</v>
      </c>
      <c r="I66" s="2663">
        <f t="shared" si="20"/>
        <v>94</v>
      </c>
      <c r="J66" s="2663"/>
      <c r="K66" s="2663"/>
      <c r="L66" s="2663"/>
      <c r="M66" s="2848"/>
      <c r="N66" s="2843"/>
      <c r="O66" s="2843"/>
      <c r="P66" s="2826"/>
      <c r="Q66" s="2817"/>
    </row>
    <row r="67" spans="1:17" ht="15" thickTop="1">
      <c r="A67" s="2758"/>
      <c r="B67" s="2849" t="s">
        <v>2136</v>
      </c>
      <c r="C67" s="2664" t="str">
        <f>C68&amp;"（含）"&amp;"-"&amp;D68</f>
        <v>0（含）-1</v>
      </c>
      <c r="D67" s="2664" t="str">
        <f t="shared" ref="D67:L67" si="21">D68&amp;"（含）"&amp;"-"&amp;E68</f>
        <v>1（含）-2</v>
      </c>
      <c r="E67" s="2664" t="str">
        <f t="shared" si="21"/>
        <v>2（含）-3</v>
      </c>
      <c r="F67" s="2664" t="str">
        <f t="shared" si="21"/>
        <v>3（含）-4</v>
      </c>
      <c r="G67" s="2664" t="str">
        <f t="shared" si="21"/>
        <v>4（含）-5</v>
      </c>
      <c r="H67" s="2664" t="str">
        <f t="shared" si="21"/>
        <v>5（含）-</v>
      </c>
      <c r="I67" s="2664" t="str">
        <f t="shared" si="21"/>
        <v>（含）-</v>
      </c>
      <c r="J67" s="2664" t="str">
        <f t="shared" si="21"/>
        <v>（含）-</v>
      </c>
      <c r="K67" s="2664" t="str">
        <f>K68&amp;"（含）"&amp;"-"&amp;L68</f>
        <v>（含）-</v>
      </c>
      <c r="L67" s="2664" t="str">
        <f t="shared" si="21"/>
        <v>（含）-</v>
      </c>
      <c r="M67" s="2562" t="str">
        <f>M68&amp;"（含）"&amp;"-"&amp;P68</f>
        <v>（含）-</v>
      </c>
      <c r="N67" s="2843"/>
      <c r="O67" s="2843"/>
      <c r="P67" s="2826"/>
      <c r="Q67" s="2817"/>
    </row>
    <row r="68" spans="1:17">
      <c r="A68" s="2758"/>
      <c r="B68" s="2681"/>
      <c r="C68" s="2554">
        <v>0</v>
      </c>
      <c r="D68" s="2554">
        <v>1</v>
      </c>
      <c r="E68" s="2554">
        <v>2</v>
      </c>
      <c r="F68" s="2554">
        <v>3</v>
      </c>
      <c r="G68" s="2554">
        <v>4</v>
      </c>
      <c r="H68" s="2554">
        <v>5</v>
      </c>
      <c r="I68" s="2554"/>
      <c r="J68" s="2554"/>
      <c r="K68" s="2665"/>
      <c r="L68" s="2850"/>
      <c r="M68" s="2851"/>
      <c r="N68" s="2840"/>
      <c r="O68" s="2840"/>
      <c r="P68" s="2826"/>
      <c r="Q68" s="2817"/>
    </row>
    <row r="69" spans="1:17" ht="14.4" thickBot="1">
      <c r="A69" s="2758"/>
      <c r="B69" s="2841"/>
      <c r="C69" s="2663">
        <v>100</v>
      </c>
      <c r="D69" s="2663">
        <f t="shared" ref="D69:M69" si="22">C69-$K11</f>
        <v>97</v>
      </c>
      <c r="E69" s="2663">
        <f t="shared" si="22"/>
        <v>94</v>
      </c>
      <c r="F69" s="2663">
        <f t="shared" si="22"/>
        <v>91</v>
      </c>
      <c r="G69" s="2663">
        <f t="shared" si="22"/>
        <v>88</v>
      </c>
      <c r="H69" s="2663">
        <f t="shared" si="22"/>
        <v>85</v>
      </c>
      <c r="I69" s="2663">
        <f t="shared" si="22"/>
        <v>82</v>
      </c>
      <c r="J69" s="2663">
        <f t="shared" si="22"/>
        <v>79</v>
      </c>
      <c r="K69" s="2663">
        <f t="shared" si="22"/>
        <v>76</v>
      </c>
      <c r="L69" s="2663">
        <f t="shared" si="22"/>
        <v>73</v>
      </c>
      <c r="M69" s="2848">
        <f t="shared" si="22"/>
        <v>70</v>
      </c>
      <c r="N69" s="2843"/>
      <c r="O69" s="2843"/>
      <c r="P69" s="2826"/>
      <c r="Q69" s="2817"/>
    </row>
    <row r="70" spans="1:17" s="2795" customFormat="1" ht="14.4" thickTop="1">
      <c r="A70" s="2852"/>
      <c r="B70" s="2844" t="str">
        <f>B12</f>
        <v>政府持有比例</v>
      </c>
      <c r="C70" s="3599">
        <v>0.15</v>
      </c>
      <c r="D70" s="3599">
        <v>0.13</v>
      </c>
      <c r="E70" s="3599">
        <v>0</v>
      </c>
      <c r="F70" s="2666"/>
      <c r="G70" s="2666"/>
      <c r="H70" s="2667"/>
      <c r="I70" s="2667"/>
      <c r="J70" s="2667"/>
      <c r="K70" s="2667"/>
      <c r="L70" s="2853"/>
      <c r="M70" s="2854"/>
      <c r="N70" s="2855"/>
      <c r="O70" s="2855"/>
      <c r="P70" s="2856"/>
      <c r="Q70" s="2857"/>
    </row>
    <row r="71" spans="1:17" s="2795" customFormat="1" ht="14.4" thickBot="1">
      <c r="A71" s="2852"/>
      <c r="B71" s="2847"/>
      <c r="C71" s="2668">
        <v>100</v>
      </c>
      <c r="D71" s="2660">
        <v>102</v>
      </c>
      <c r="E71" s="2660">
        <v>115</v>
      </c>
      <c r="F71" s="2660"/>
      <c r="G71" s="2660"/>
      <c r="H71" s="2660"/>
      <c r="I71" s="2660"/>
      <c r="J71" s="2660"/>
      <c r="K71" s="2660"/>
      <c r="L71" s="2660"/>
      <c r="M71" s="2842"/>
      <c r="N71" s="2843"/>
      <c r="O71" s="2843"/>
      <c r="P71" s="2856"/>
      <c r="Q71" s="2857"/>
    </row>
    <row r="72" spans="1:17" s="2795" customFormat="1" ht="14.4" thickTop="1">
      <c r="A72" s="2852"/>
      <c r="B72" s="2844">
        <f>B13</f>
        <v>111</v>
      </c>
      <c r="C72" s="2666"/>
      <c r="D72" s="2666"/>
      <c r="E72" s="2666"/>
      <c r="F72" s="2666"/>
      <c r="G72" s="2666"/>
      <c r="H72" s="2667"/>
      <c r="I72" s="2667"/>
      <c r="J72" s="2667"/>
      <c r="K72" s="2667"/>
      <c r="L72" s="2853"/>
      <c r="M72" s="2854"/>
      <c r="N72" s="2855"/>
      <c r="O72" s="2855"/>
      <c r="P72" s="2858"/>
      <c r="Q72" s="2859"/>
    </row>
    <row r="73" spans="1:17" s="2795" customFormat="1" ht="14.4" thickBot="1">
      <c r="A73" s="2852"/>
      <c r="B73" s="2847"/>
      <c r="C73" s="2668"/>
      <c r="D73" s="2668"/>
      <c r="E73" s="2668"/>
      <c r="F73" s="2668"/>
      <c r="G73" s="2668"/>
      <c r="H73" s="2669"/>
      <c r="I73" s="2669"/>
      <c r="J73" s="2669"/>
      <c r="K73" s="2669"/>
      <c r="L73" s="2669"/>
      <c r="M73" s="2860"/>
      <c r="N73" s="2855"/>
      <c r="O73" s="2855"/>
      <c r="P73" s="2856"/>
      <c r="Q73" s="2857"/>
    </row>
    <row r="74" spans="1:17" s="2795" customFormat="1" ht="14.4" thickTop="1">
      <c r="A74" s="2852"/>
      <c r="B74" s="2849">
        <f>B14</f>
        <v>111</v>
      </c>
      <c r="C74" s="2666"/>
      <c r="D74" s="2666"/>
      <c r="E74" s="2666"/>
      <c r="F74" s="2666"/>
      <c r="G74" s="2654"/>
      <c r="H74" s="2670"/>
      <c r="I74" s="2670"/>
      <c r="J74" s="2670"/>
      <c r="K74" s="2670"/>
      <c r="L74" s="2861"/>
      <c r="M74" s="2862"/>
      <c r="N74" s="2855"/>
      <c r="O74" s="2855"/>
      <c r="P74" s="2863"/>
      <c r="Q74" s="2857"/>
    </row>
    <row r="75" spans="1:17" s="2795" customFormat="1" ht="14.4" thickBot="1">
      <c r="A75" s="2864"/>
      <c r="B75" s="2865"/>
      <c r="C75" s="2671"/>
      <c r="D75" s="2671"/>
      <c r="E75" s="2671"/>
      <c r="F75" s="2671"/>
      <c r="G75" s="2671"/>
      <c r="H75" s="2672"/>
      <c r="I75" s="2672"/>
      <c r="J75" s="2672"/>
      <c r="K75" s="2672"/>
      <c r="L75" s="2672"/>
      <c r="M75" s="2866"/>
      <c r="N75" s="2855"/>
      <c r="O75" s="2855"/>
      <c r="P75" s="2856"/>
      <c r="Q75" s="2857"/>
    </row>
    <row r="76" spans="1:17" ht="14.4">
      <c r="A76" s="2767" t="s">
        <v>2137</v>
      </c>
      <c r="B76" s="2837" t="s">
        <v>2174</v>
      </c>
      <c r="C76" s="2673" t="s">
        <v>2175</v>
      </c>
      <c r="D76" s="2673" t="s">
        <v>2176</v>
      </c>
      <c r="E76" s="2673" t="s">
        <v>2177</v>
      </c>
      <c r="F76" s="2673" t="s">
        <v>2178</v>
      </c>
      <c r="G76" s="2673" t="s">
        <v>2179</v>
      </c>
      <c r="H76" s="2674"/>
      <c r="I76" s="2674"/>
      <c r="J76" s="2674"/>
      <c r="K76" s="2675"/>
      <c r="L76" s="2867"/>
      <c r="M76" s="2868"/>
      <c r="N76" s="2840"/>
      <c r="O76" s="2840"/>
      <c r="P76" s="2869"/>
      <c r="Q76" s="2817"/>
    </row>
    <row r="77" spans="1:17" ht="14.4" thickBot="1">
      <c r="A77" s="2758"/>
      <c r="B77" s="2847"/>
      <c r="C77" s="2663">
        <v>100</v>
      </c>
      <c r="D77" s="2663">
        <f>C77-$K15</f>
        <v>99</v>
      </c>
      <c r="E77" s="2663">
        <f>D77-$K15</f>
        <v>98</v>
      </c>
      <c r="F77" s="2663">
        <f>E77-$K15</f>
        <v>97</v>
      </c>
      <c r="G77" s="2663">
        <f>F77-$K15</f>
        <v>96</v>
      </c>
      <c r="H77" s="2663"/>
      <c r="I77" s="2663"/>
      <c r="J77" s="2663"/>
      <c r="K77" s="2663"/>
      <c r="L77" s="2663"/>
      <c r="M77" s="2848"/>
      <c r="N77" s="2843"/>
      <c r="O77" s="2843"/>
      <c r="P77" s="2826"/>
      <c r="Q77" s="2817"/>
    </row>
    <row r="78" spans="1:17" ht="15" thickTop="1">
      <c r="A78" s="2758"/>
      <c r="B78" s="2844" t="s">
        <v>2180</v>
      </c>
      <c r="C78" s="2676" t="s">
        <v>2175</v>
      </c>
      <c r="D78" s="2676" t="s">
        <v>2176</v>
      </c>
      <c r="E78" s="2676" t="s">
        <v>2177</v>
      </c>
      <c r="F78" s="2676" t="s">
        <v>2178</v>
      </c>
      <c r="G78" s="2676" t="s">
        <v>2179</v>
      </c>
      <c r="H78" s="2661"/>
      <c r="I78" s="2661"/>
      <c r="J78" s="2661"/>
      <c r="K78" s="2662"/>
      <c r="L78" s="2845"/>
      <c r="M78" s="2846"/>
      <c r="N78" s="2840"/>
      <c r="O78" s="2840"/>
      <c r="P78" s="2826"/>
      <c r="Q78" s="2817"/>
    </row>
    <row r="79" spans="1:17" ht="14.4" thickBot="1">
      <c r="A79" s="2758"/>
      <c r="B79" s="2847"/>
      <c r="C79" s="2663">
        <v>100</v>
      </c>
      <c r="D79" s="2663">
        <f>C79-$K17</f>
        <v>99</v>
      </c>
      <c r="E79" s="2663">
        <f>D79-$K17</f>
        <v>98</v>
      </c>
      <c r="F79" s="2663">
        <f>E79-$K17</f>
        <v>97</v>
      </c>
      <c r="G79" s="2663">
        <f>F79-$K17</f>
        <v>96</v>
      </c>
      <c r="H79" s="2663"/>
      <c r="I79" s="2663"/>
      <c r="J79" s="2663"/>
      <c r="K79" s="2663"/>
      <c r="L79" s="2663"/>
      <c r="M79" s="2848"/>
      <c r="N79" s="2843"/>
      <c r="O79" s="2843"/>
      <c r="P79" s="2826"/>
      <c r="Q79" s="2817"/>
    </row>
    <row r="80" spans="1:17" ht="15" thickTop="1">
      <c r="A80" s="2758"/>
      <c r="B80" s="2844" t="s">
        <v>2181</v>
      </c>
      <c r="C80" s="2676" t="s">
        <v>2175</v>
      </c>
      <c r="D80" s="2676" t="s">
        <v>2176</v>
      </c>
      <c r="E80" s="2676" t="s">
        <v>2177</v>
      </c>
      <c r="F80" s="2676" t="s">
        <v>2178</v>
      </c>
      <c r="G80" s="2676" t="s">
        <v>2179</v>
      </c>
      <c r="H80" s="2661"/>
      <c r="I80" s="2661"/>
      <c r="J80" s="2661"/>
      <c r="K80" s="2662"/>
      <c r="L80" s="2845"/>
      <c r="M80" s="2846"/>
      <c r="N80" s="2840"/>
      <c r="O80" s="2840"/>
      <c r="P80" s="2826"/>
      <c r="Q80" s="2817"/>
    </row>
    <row r="81" spans="1:17" ht="14.4" thickBot="1">
      <c r="A81" s="2758"/>
      <c r="B81" s="2847"/>
      <c r="C81" s="2663">
        <v>100</v>
      </c>
      <c r="D81" s="2663">
        <f>C81-$K19</f>
        <v>99</v>
      </c>
      <c r="E81" s="2663">
        <f>D81-$K19</f>
        <v>98</v>
      </c>
      <c r="F81" s="2663">
        <f>E81-$K19</f>
        <v>97</v>
      </c>
      <c r="G81" s="2663">
        <f>F81-$K19</f>
        <v>96</v>
      </c>
      <c r="H81" s="2663"/>
      <c r="I81" s="2663"/>
      <c r="J81" s="2663"/>
      <c r="K81" s="2663"/>
      <c r="L81" s="2663"/>
      <c r="M81" s="2848"/>
      <c r="N81" s="2843"/>
      <c r="O81" s="2843"/>
      <c r="P81" s="2826"/>
      <c r="Q81" s="2817"/>
    </row>
    <row r="82" spans="1:17" ht="15" thickTop="1">
      <c r="A82" s="2758"/>
      <c r="B82" s="2849" t="s">
        <v>1706</v>
      </c>
      <c r="C82" s="2661" t="s">
        <v>2182</v>
      </c>
      <c r="D82" s="2661" t="s">
        <v>2183</v>
      </c>
      <c r="E82" s="2661" t="s">
        <v>2184</v>
      </c>
      <c r="F82" s="2661" t="s">
        <v>2185</v>
      </c>
      <c r="G82" s="2661" t="s">
        <v>2186</v>
      </c>
      <c r="H82" s="2661"/>
      <c r="I82" s="2661"/>
      <c r="J82" s="2661"/>
      <c r="K82" s="2661"/>
      <c r="L82" s="2661"/>
      <c r="M82" s="2870"/>
      <c r="N82" s="2843"/>
      <c r="O82" s="2843"/>
      <c r="P82" s="2826"/>
      <c r="Q82" s="2817"/>
    </row>
    <row r="83" spans="1:17" ht="14.4" thickBot="1">
      <c r="A83" s="2758"/>
      <c r="B83" s="2849"/>
      <c r="C83" s="2680">
        <v>100</v>
      </c>
      <c r="D83" s="2680">
        <f>C83-$K21</f>
        <v>99</v>
      </c>
      <c r="E83" s="2680">
        <f t="shared" ref="E83:G83" si="23">D83-$K21</f>
        <v>98</v>
      </c>
      <c r="F83" s="2680">
        <f t="shared" si="23"/>
        <v>97</v>
      </c>
      <c r="G83" s="2680">
        <f t="shared" si="23"/>
        <v>96</v>
      </c>
      <c r="H83" s="2680"/>
      <c r="I83" s="2680"/>
      <c r="J83" s="2680"/>
      <c r="K83" s="2680"/>
      <c r="L83" s="2680"/>
      <c r="M83" s="2564"/>
      <c r="N83" s="2843"/>
      <c r="O83" s="2843"/>
      <c r="P83" s="2826"/>
      <c r="Q83" s="2817"/>
    </row>
    <row r="84" spans="1:17" ht="15" thickTop="1">
      <c r="A84" s="2758"/>
      <c r="B84" s="2844" t="s">
        <v>2187</v>
      </c>
      <c r="C84" s="2676" t="s">
        <v>2175</v>
      </c>
      <c r="D84" s="2676" t="s">
        <v>2176</v>
      </c>
      <c r="E84" s="2676" t="s">
        <v>2177</v>
      </c>
      <c r="F84" s="2676" t="s">
        <v>2178</v>
      </c>
      <c r="G84" s="2676" t="s">
        <v>2179</v>
      </c>
      <c r="H84" s="2661"/>
      <c r="I84" s="2661"/>
      <c r="J84" s="2661"/>
      <c r="K84" s="2662"/>
      <c r="L84" s="2845"/>
      <c r="M84" s="2846"/>
      <c r="N84" s="2840"/>
      <c r="O84" s="2840"/>
      <c r="P84" s="2826"/>
      <c r="Q84" s="2817"/>
    </row>
    <row r="85" spans="1:17" ht="14.4" thickBot="1">
      <c r="A85" s="2758"/>
      <c r="B85" s="2847"/>
      <c r="C85" s="2663">
        <v>100</v>
      </c>
      <c r="D85" s="2663">
        <f>C85-$K23</f>
        <v>99</v>
      </c>
      <c r="E85" s="2663">
        <f>D85-$K23</f>
        <v>98</v>
      </c>
      <c r="F85" s="2663">
        <f>E85-$K23</f>
        <v>97</v>
      </c>
      <c r="G85" s="2663">
        <f>F85-$K23</f>
        <v>96</v>
      </c>
      <c r="H85" s="2663"/>
      <c r="I85" s="2663"/>
      <c r="J85" s="2663"/>
      <c r="K85" s="2663"/>
      <c r="L85" s="2663"/>
      <c r="M85" s="2848"/>
      <c r="N85" s="2843"/>
      <c r="O85" s="2843"/>
      <c r="P85" s="2826"/>
      <c r="Q85" s="2817"/>
    </row>
    <row r="86" spans="1:17" s="2746" customFormat="1" ht="15" thickTop="1">
      <c r="A86" s="2760"/>
      <c r="B86" s="2844" t="s">
        <v>2188</v>
      </c>
      <c r="C86" s="2666"/>
      <c r="D86" s="2666"/>
      <c r="E86" s="2666"/>
      <c r="F86" s="2666"/>
      <c r="G86" s="2666"/>
      <c r="H86" s="2666"/>
      <c r="I86" s="2666"/>
      <c r="J86" s="2666"/>
      <c r="K86" s="2666"/>
      <c r="L86" s="2871"/>
      <c r="M86" s="2872"/>
      <c r="N86" s="2834"/>
      <c r="O86" s="2834"/>
      <c r="P86" s="2826"/>
      <c r="Q86" s="2817"/>
    </row>
    <row r="87" spans="1:17" s="2746" customFormat="1" ht="14.4" thickBot="1">
      <c r="A87" s="2760"/>
      <c r="B87" s="2847"/>
      <c r="C87" s="2677">
        <v>100</v>
      </c>
      <c r="D87" s="2663">
        <f t="shared" ref="D87:M87" si="24">$C$87-($C$86-D86)*$K$25</f>
        <v>100</v>
      </c>
      <c r="E87" s="2663">
        <f t="shared" si="24"/>
        <v>100</v>
      </c>
      <c r="F87" s="2663">
        <f t="shared" si="24"/>
        <v>100</v>
      </c>
      <c r="G87" s="2663">
        <f t="shared" si="24"/>
        <v>100</v>
      </c>
      <c r="H87" s="2663">
        <f t="shared" si="24"/>
        <v>100</v>
      </c>
      <c r="I87" s="2663">
        <f t="shared" si="24"/>
        <v>100</v>
      </c>
      <c r="J87" s="2663">
        <f t="shared" si="24"/>
        <v>100</v>
      </c>
      <c r="K87" s="2663">
        <f t="shared" si="24"/>
        <v>100</v>
      </c>
      <c r="L87" s="2663">
        <f t="shared" si="24"/>
        <v>100</v>
      </c>
      <c r="M87" s="2663">
        <f t="shared" si="24"/>
        <v>100</v>
      </c>
      <c r="N87" s="2843"/>
      <c r="O87" s="2843"/>
      <c r="P87" s="2826"/>
      <c r="Q87" s="2817"/>
    </row>
    <row r="88" spans="1:17" s="2746" customFormat="1" ht="15" thickTop="1">
      <c r="A88" s="2760"/>
      <c r="B88" s="2844" t="s">
        <v>2189</v>
      </c>
      <c r="C88" s="2666"/>
      <c r="D88" s="2666"/>
      <c r="E88" s="2666"/>
      <c r="F88" s="2873"/>
      <c r="G88" s="2666"/>
      <c r="H88" s="2666"/>
      <c r="I88" s="2666"/>
      <c r="J88" s="2666"/>
      <c r="K88" s="2666"/>
      <c r="L88" s="2666"/>
      <c r="M88" s="2872"/>
      <c r="N88" s="2834"/>
      <c r="O88" s="2834"/>
      <c r="P88" s="2826"/>
      <c r="Q88" s="2817"/>
    </row>
    <row r="89" spans="1:17" s="2746" customFormat="1" ht="14.4" thickBot="1">
      <c r="A89" s="2760"/>
      <c r="B89" s="2847"/>
      <c r="C89" s="2677">
        <v>100</v>
      </c>
      <c r="D89" s="2663">
        <f t="shared" ref="D89:M89" si="25">C89-$K26</f>
        <v>100</v>
      </c>
      <c r="E89" s="2663">
        <f t="shared" si="25"/>
        <v>100</v>
      </c>
      <c r="F89" s="2663">
        <f t="shared" si="25"/>
        <v>100</v>
      </c>
      <c r="G89" s="2663">
        <f t="shared" si="25"/>
        <v>100</v>
      </c>
      <c r="H89" s="2663">
        <f t="shared" si="25"/>
        <v>100</v>
      </c>
      <c r="I89" s="2663">
        <f t="shared" si="25"/>
        <v>100</v>
      </c>
      <c r="J89" s="2663">
        <f t="shared" si="25"/>
        <v>100</v>
      </c>
      <c r="K89" s="2663">
        <f t="shared" si="25"/>
        <v>100</v>
      </c>
      <c r="L89" s="2663">
        <f t="shared" si="25"/>
        <v>100</v>
      </c>
      <c r="M89" s="2663">
        <f t="shared" si="25"/>
        <v>100</v>
      </c>
      <c r="N89" s="2843"/>
      <c r="O89" s="2843"/>
      <c r="P89" s="2826"/>
      <c r="Q89" s="2817"/>
    </row>
    <row r="90" spans="1:17" s="2795" customFormat="1" ht="14.4" thickTop="1">
      <c r="A90" s="2852"/>
      <c r="B90" s="2844">
        <f>B27</f>
        <v>111</v>
      </c>
      <c r="C90" s="2666"/>
      <c r="D90" s="2666"/>
      <c r="E90" s="2666"/>
      <c r="F90" s="2666"/>
      <c r="G90" s="2666"/>
      <c r="H90" s="2667"/>
      <c r="I90" s="2667"/>
      <c r="J90" s="2667"/>
      <c r="K90" s="2667"/>
      <c r="L90" s="2853"/>
      <c r="M90" s="2854"/>
      <c r="N90" s="2855"/>
      <c r="O90" s="2855"/>
      <c r="P90" s="2856"/>
      <c r="Q90" s="2857"/>
    </row>
    <row r="91" spans="1:17" s="2795" customFormat="1" ht="14.4" thickBot="1">
      <c r="A91" s="2852"/>
      <c r="B91" s="2847"/>
      <c r="C91" s="2668"/>
      <c r="D91" s="2668"/>
      <c r="E91" s="2668"/>
      <c r="F91" s="2668"/>
      <c r="G91" s="2668"/>
      <c r="H91" s="2669"/>
      <c r="I91" s="2669"/>
      <c r="J91" s="2669"/>
      <c r="K91" s="2669"/>
      <c r="L91" s="2669"/>
      <c r="M91" s="2860"/>
      <c r="N91" s="2855"/>
      <c r="O91" s="2855"/>
      <c r="P91" s="2856"/>
      <c r="Q91" s="2857"/>
    </row>
    <row r="92" spans="1:17" ht="14.4" thickTop="1">
      <c r="A92" s="2758"/>
      <c r="B92" s="2844">
        <f>B28</f>
        <v>111</v>
      </c>
      <c r="C92" s="2666"/>
      <c r="D92" s="2666"/>
      <c r="E92" s="2666"/>
      <c r="F92" s="2666"/>
      <c r="G92" s="2682"/>
      <c r="H92" s="2682"/>
      <c r="I92" s="2682"/>
      <c r="J92" s="2682"/>
      <c r="K92" s="2683"/>
      <c r="L92" s="2874"/>
      <c r="M92" s="2875"/>
      <c r="N92" s="2840"/>
      <c r="O92" s="2840"/>
      <c r="P92" s="2826"/>
      <c r="Q92" s="2817"/>
    </row>
    <row r="93" spans="1:17" ht="14.4" thickBot="1">
      <c r="A93" s="2758"/>
      <c r="B93" s="2847"/>
      <c r="C93" s="2668"/>
      <c r="D93" s="2660"/>
      <c r="E93" s="2660"/>
      <c r="F93" s="2660"/>
      <c r="G93" s="2660"/>
      <c r="H93" s="2660"/>
      <c r="I93" s="2660"/>
      <c r="J93" s="2660"/>
      <c r="K93" s="2660"/>
      <c r="L93" s="2660"/>
      <c r="M93" s="2842"/>
      <c r="N93" s="2843"/>
      <c r="O93" s="2843"/>
      <c r="P93" s="2826"/>
      <c r="Q93" s="2817"/>
    </row>
    <row r="94" spans="1:17" ht="14.4" thickTop="1">
      <c r="A94" s="2758"/>
      <c r="B94" s="2844">
        <f>B29</f>
        <v>111</v>
      </c>
      <c r="C94" s="2666"/>
      <c r="D94" s="2666"/>
      <c r="E94" s="2666"/>
      <c r="F94" s="2666"/>
      <c r="G94" s="2682"/>
      <c r="H94" s="2682"/>
      <c r="I94" s="2682"/>
      <c r="J94" s="2682"/>
      <c r="K94" s="2683"/>
      <c r="L94" s="2874"/>
      <c r="M94" s="2875"/>
      <c r="N94" s="2840"/>
      <c r="O94" s="2840"/>
      <c r="P94" s="2826"/>
      <c r="Q94" s="2817"/>
    </row>
    <row r="95" spans="1:17" ht="14.4" thickBot="1">
      <c r="A95" s="2758"/>
      <c r="B95" s="2847"/>
      <c r="C95" s="2668"/>
      <c r="D95" s="2668"/>
      <c r="E95" s="2668"/>
      <c r="F95" s="2668"/>
      <c r="G95" s="2660"/>
      <c r="H95" s="2660"/>
      <c r="I95" s="2660"/>
      <c r="J95" s="2660"/>
      <c r="K95" s="2660"/>
      <c r="L95" s="2660"/>
      <c r="M95" s="2842"/>
      <c r="N95" s="2843"/>
      <c r="O95" s="2843"/>
      <c r="P95" s="2826"/>
      <c r="Q95" s="2817"/>
    </row>
    <row r="96" spans="1:17" ht="14.4" thickTop="1">
      <c r="A96" s="2758"/>
      <c r="B96" s="2844">
        <f>B30</f>
        <v>111</v>
      </c>
      <c r="C96" s="2666"/>
      <c r="D96" s="2666"/>
      <c r="E96" s="2666"/>
      <c r="F96" s="2666"/>
      <c r="G96" s="2682"/>
      <c r="H96" s="2682"/>
      <c r="I96" s="2682"/>
      <c r="J96" s="2682"/>
      <c r="K96" s="2683"/>
      <c r="L96" s="2874"/>
      <c r="M96" s="2875"/>
      <c r="N96" s="2840"/>
      <c r="O96" s="2840"/>
      <c r="P96" s="2826"/>
      <c r="Q96" s="2817"/>
    </row>
    <row r="97" spans="1:17" ht="14.4" thickBot="1">
      <c r="A97" s="2758"/>
      <c r="B97" s="2847"/>
      <c r="C97" s="2671"/>
      <c r="D97" s="2671"/>
      <c r="E97" s="2671"/>
      <c r="F97" s="2671"/>
      <c r="G97" s="2660"/>
      <c r="H97" s="2660"/>
      <c r="I97" s="2660"/>
      <c r="J97" s="2660"/>
      <c r="K97" s="2660"/>
      <c r="L97" s="2660"/>
      <c r="M97" s="2842"/>
      <c r="N97" s="2843"/>
      <c r="O97" s="2843"/>
      <c r="P97" s="2826"/>
      <c r="Q97" s="2817"/>
    </row>
    <row r="98" spans="1:17" ht="14.4" thickTop="1">
      <c r="A98" s="2758"/>
      <c r="B98" s="2849">
        <f>B31</f>
        <v>111</v>
      </c>
      <c r="C98" s="2684"/>
      <c r="D98" s="2684"/>
      <c r="E98" s="2684"/>
      <c r="F98" s="2684"/>
      <c r="G98" s="2684"/>
      <c r="H98" s="2684"/>
      <c r="I98" s="2684"/>
      <c r="J98" s="2684"/>
      <c r="K98" s="2685"/>
      <c r="L98" s="2876"/>
      <c r="M98" s="2877"/>
      <c r="N98" s="2840"/>
      <c r="O98" s="2840"/>
      <c r="P98" s="2826"/>
      <c r="Q98" s="2817"/>
    </row>
    <row r="99" spans="1:17" ht="14.4" thickBot="1">
      <c r="A99" s="2764"/>
      <c r="B99" s="2865"/>
      <c r="C99" s="2686"/>
      <c r="D99" s="2686"/>
      <c r="E99" s="2686"/>
      <c r="F99" s="2686"/>
      <c r="G99" s="2686"/>
      <c r="H99" s="2686"/>
      <c r="I99" s="2686"/>
      <c r="J99" s="2686"/>
      <c r="K99" s="2686"/>
      <c r="L99" s="2686"/>
      <c r="M99" s="2878"/>
      <c r="N99" s="2843"/>
      <c r="O99" s="2843"/>
      <c r="P99" s="2826"/>
      <c r="Q99" s="2817"/>
    </row>
    <row r="100" spans="1:17" ht="14.4">
      <c r="A100" s="2767" t="s">
        <v>2141</v>
      </c>
      <c r="B100" s="2837" t="s">
        <v>2190</v>
      </c>
      <c r="C100" s="2657" t="s">
        <v>3552</v>
      </c>
      <c r="D100" s="2657" t="s">
        <v>3553</v>
      </c>
      <c r="E100" s="2657"/>
      <c r="F100" s="2657"/>
      <c r="G100" s="2658"/>
      <c r="H100" s="2658"/>
      <c r="I100" s="2658"/>
      <c r="J100" s="2658"/>
      <c r="K100" s="2659"/>
      <c r="L100" s="2838"/>
      <c r="M100" s="2839"/>
      <c r="N100" s="2840"/>
      <c r="O100" s="2840"/>
      <c r="P100" s="2826"/>
      <c r="Q100" s="2817"/>
    </row>
    <row r="101" spans="1:17" ht="14.4" thickBot="1">
      <c r="A101" s="2758"/>
      <c r="B101" s="2847"/>
      <c r="C101" s="2663">
        <v>100</v>
      </c>
      <c r="D101" s="2663">
        <f t="shared" ref="D101:M101" si="26">C101-$K32</f>
        <v>90</v>
      </c>
      <c r="E101" s="2663">
        <f t="shared" si="26"/>
        <v>80</v>
      </c>
      <c r="F101" s="2663">
        <f t="shared" si="26"/>
        <v>70</v>
      </c>
      <c r="G101" s="2663">
        <f t="shared" si="26"/>
        <v>60</v>
      </c>
      <c r="H101" s="2663">
        <f t="shared" si="26"/>
        <v>50</v>
      </c>
      <c r="I101" s="2663">
        <f t="shared" si="26"/>
        <v>40</v>
      </c>
      <c r="J101" s="2663">
        <f t="shared" si="26"/>
        <v>30</v>
      </c>
      <c r="K101" s="2663">
        <f t="shared" si="26"/>
        <v>20</v>
      </c>
      <c r="L101" s="2663">
        <f t="shared" si="26"/>
        <v>10</v>
      </c>
      <c r="M101" s="2663">
        <f t="shared" si="26"/>
        <v>0</v>
      </c>
      <c r="N101" s="2843"/>
      <c r="O101" s="2843"/>
      <c r="P101" s="2826"/>
      <c r="Q101" s="2817"/>
    </row>
    <row r="102" spans="1:17" ht="15" thickTop="1">
      <c r="A102" s="2758"/>
      <c r="B102" s="2844" t="s">
        <v>2191</v>
      </c>
      <c r="C102" s="2676" t="str">
        <f>C103&amp;"(含)"&amp;"-"&amp;D103</f>
        <v>0(含)-100</v>
      </c>
      <c r="D102" s="2676" t="str">
        <f t="shared" ref="D102:L102" si="27">D103&amp;"(含)"&amp;"-"&amp;E103</f>
        <v>100(含)-200</v>
      </c>
      <c r="E102" s="2676" t="str">
        <f t="shared" si="27"/>
        <v>200(含)-</v>
      </c>
      <c r="F102" s="2676" t="str">
        <f t="shared" si="27"/>
        <v>(含)-</v>
      </c>
      <c r="G102" s="2676" t="str">
        <f t="shared" si="27"/>
        <v>(含)-</v>
      </c>
      <c r="H102" s="2676" t="str">
        <f t="shared" si="27"/>
        <v>(含)-</v>
      </c>
      <c r="I102" s="2676" t="str">
        <f t="shared" si="27"/>
        <v>(含)-</v>
      </c>
      <c r="J102" s="2676" t="str">
        <f t="shared" si="27"/>
        <v>(含)-</v>
      </c>
      <c r="K102" s="2676" t="str">
        <f>K103&amp;"(含)"&amp;"-"&amp;L103</f>
        <v>(含)-</v>
      </c>
      <c r="L102" s="2676" t="str">
        <f t="shared" si="27"/>
        <v>(含)-</v>
      </c>
      <c r="M102" s="2676" t="str">
        <f>M103&amp;"(含)"&amp;"-"&amp;P103</f>
        <v>(含)-</v>
      </c>
      <c r="N102" s="2834"/>
      <c r="O102" s="2834"/>
      <c r="P102" s="2826"/>
      <c r="Q102" s="2817"/>
    </row>
    <row r="103" spans="1:17" s="2795" customFormat="1">
      <c r="A103" s="2787"/>
      <c r="B103" s="2879"/>
      <c r="C103" s="2650">
        <v>0</v>
      </c>
      <c r="D103" s="2650">
        <v>100</v>
      </c>
      <c r="E103" s="2650">
        <v>200</v>
      </c>
      <c r="F103" s="2650"/>
      <c r="G103" s="2650"/>
      <c r="H103" s="2650"/>
      <c r="I103" s="2650"/>
      <c r="J103" s="2687"/>
      <c r="K103" s="2687"/>
      <c r="L103" s="2880"/>
      <c r="M103" s="2881"/>
      <c r="N103" s="2855"/>
      <c r="O103" s="2855"/>
      <c r="P103" s="2856"/>
      <c r="Q103" s="2857"/>
    </row>
    <row r="104" spans="1:17" s="2795" customFormat="1" ht="14.4" thickBot="1">
      <c r="A104" s="2852"/>
      <c r="B104" s="2847"/>
      <c r="C104" s="2668">
        <v>100</v>
      </c>
      <c r="D104" s="2660">
        <v>100</v>
      </c>
      <c r="E104" s="2660"/>
      <c r="F104" s="2660"/>
      <c r="G104" s="2660"/>
      <c r="H104" s="2660"/>
      <c r="I104" s="2660"/>
      <c r="J104" s="2660"/>
      <c r="K104" s="2660"/>
      <c r="L104" s="2660"/>
      <c r="M104" s="2660"/>
      <c r="N104" s="2843"/>
      <c r="O104" s="2843"/>
      <c r="P104" s="2856"/>
      <c r="Q104" s="2857"/>
    </row>
    <row r="105" spans="1:17" ht="15" thickTop="1">
      <c r="A105" s="2796"/>
      <c r="B105" s="2844" t="s">
        <v>2192</v>
      </c>
      <c r="C105" s="2666"/>
      <c r="D105" s="2666"/>
      <c r="E105" s="2682"/>
      <c r="F105" s="2682"/>
      <c r="G105" s="2682"/>
      <c r="H105" s="2682"/>
      <c r="I105" s="2682"/>
      <c r="J105" s="2682"/>
      <c r="K105" s="2683"/>
      <c r="L105" s="2874"/>
      <c r="M105" s="2875"/>
      <c r="N105" s="2840"/>
      <c r="O105" s="2840"/>
      <c r="P105" s="2826"/>
      <c r="Q105" s="2817"/>
    </row>
    <row r="106" spans="1:17" ht="14.4" thickBot="1">
      <c r="A106" s="2758"/>
      <c r="B106" s="2847"/>
      <c r="C106" s="2663">
        <v>100</v>
      </c>
      <c r="D106" s="2663">
        <f t="shared" ref="D106:M106" si="28">C106-$K34</f>
        <v>99</v>
      </c>
      <c r="E106" s="2663">
        <f t="shared" si="28"/>
        <v>98</v>
      </c>
      <c r="F106" s="2663">
        <f t="shared" si="28"/>
        <v>97</v>
      </c>
      <c r="G106" s="2663">
        <f t="shared" si="28"/>
        <v>96</v>
      </c>
      <c r="H106" s="2663">
        <f t="shared" si="28"/>
        <v>95</v>
      </c>
      <c r="I106" s="2663">
        <f t="shared" si="28"/>
        <v>94</v>
      </c>
      <c r="J106" s="2663">
        <f t="shared" si="28"/>
        <v>93</v>
      </c>
      <c r="K106" s="2663">
        <f t="shared" si="28"/>
        <v>92</v>
      </c>
      <c r="L106" s="2663">
        <f t="shared" si="28"/>
        <v>91</v>
      </c>
      <c r="M106" s="2663">
        <f t="shared" si="28"/>
        <v>90</v>
      </c>
      <c r="N106" s="2843"/>
      <c r="O106" s="2843"/>
      <c r="P106" s="2826"/>
      <c r="Q106" s="2817"/>
    </row>
    <row r="107" spans="1:17" ht="15" thickTop="1">
      <c r="A107" s="2796"/>
      <c r="B107" s="2844" t="s">
        <v>2193</v>
      </c>
      <c r="C107" s="2691" t="s">
        <v>3554</v>
      </c>
      <c r="D107" s="2691" t="s">
        <v>3554</v>
      </c>
      <c r="E107" s="2682"/>
      <c r="F107" s="2682"/>
      <c r="G107" s="2682"/>
      <c r="H107" s="2682"/>
      <c r="I107" s="2682"/>
      <c r="J107" s="2682"/>
      <c r="K107" s="2683"/>
      <c r="L107" s="2874"/>
      <c r="M107" s="2875"/>
      <c r="N107" s="2840"/>
      <c r="O107" s="2840"/>
      <c r="P107" s="2826"/>
      <c r="Q107" s="2817"/>
    </row>
    <row r="108" spans="1:17" ht="14.4" thickBot="1">
      <c r="A108" s="2758"/>
      <c r="B108" s="2847"/>
      <c r="C108" s="2663">
        <v>100</v>
      </c>
      <c r="D108" s="2663">
        <f t="shared" ref="D108:M108" si="29">C108-$K35</f>
        <v>95</v>
      </c>
      <c r="E108" s="2663">
        <f t="shared" si="29"/>
        <v>90</v>
      </c>
      <c r="F108" s="2663">
        <f t="shared" si="29"/>
        <v>85</v>
      </c>
      <c r="G108" s="2663">
        <f t="shared" si="29"/>
        <v>80</v>
      </c>
      <c r="H108" s="2663">
        <f t="shared" si="29"/>
        <v>75</v>
      </c>
      <c r="I108" s="2663">
        <f t="shared" si="29"/>
        <v>70</v>
      </c>
      <c r="J108" s="2663">
        <f t="shared" si="29"/>
        <v>65</v>
      </c>
      <c r="K108" s="2663">
        <f t="shared" si="29"/>
        <v>60</v>
      </c>
      <c r="L108" s="2663">
        <f t="shared" si="29"/>
        <v>55</v>
      </c>
      <c r="M108" s="2663">
        <f t="shared" si="29"/>
        <v>50</v>
      </c>
      <c r="N108" s="2843"/>
      <c r="O108" s="2843"/>
      <c r="P108" s="2826"/>
      <c r="Q108" s="2817"/>
    </row>
    <row r="109" spans="1:17" ht="15" thickTop="1">
      <c r="A109" s="2796"/>
      <c r="B109" s="2844" t="s">
        <v>2194</v>
      </c>
      <c r="C109" s="2666"/>
      <c r="D109" s="2666"/>
      <c r="E109" s="2666"/>
      <c r="F109" s="2682"/>
      <c r="G109" s="2682"/>
      <c r="H109" s="2682"/>
      <c r="I109" s="2682"/>
      <c r="J109" s="2682"/>
      <c r="K109" s="2683"/>
      <c r="L109" s="2874"/>
      <c r="M109" s="2875"/>
      <c r="N109" s="2840"/>
      <c r="O109" s="2840"/>
      <c r="P109" s="2826"/>
      <c r="Q109" s="2817"/>
    </row>
    <row r="110" spans="1:17" ht="14.4" thickBot="1">
      <c r="A110" s="2758"/>
      <c r="B110" s="2847"/>
      <c r="C110" s="2663">
        <v>100</v>
      </c>
      <c r="D110" s="2663">
        <f t="shared" ref="D110:M110" si="30">C110-$K36</f>
        <v>99</v>
      </c>
      <c r="E110" s="2663">
        <f t="shared" si="30"/>
        <v>98</v>
      </c>
      <c r="F110" s="2663">
        <f t="shared" si="30"/>
        <v>97</v>
      </c>
      <c r="G110" s="2663">
        <f t="shared" si="30"/>
        <v>96</v>
      </c>
      <c r="H110" s="2663">
        <f t="shared" si="30"/>
        <v>95</v>
      </c>
      <c r="I110" s="2663">
        <f t="shared" si="30"/>
        <v>94</v>
      </c>
      <c r="J110" s="2663">
        <f t="shared" si="30"/>
        <v>93</v>
      </c>
      <c r="K110" s="2663">
        <f t="shared" si="30"/>
        <v>92</v>
      </c>
      <c r="L110" s="2663">
        <f t="shared" si="30"/>
        <v>91</v>
      </c>
      <c r="M110" s="2663">
        <f t="shared" si="30"/>
        <v>90</v>
      </c>
      <c r="N110" s="2843"/>
      <c r="O110" s="2843"/>
      <c r="P110" s="2826"/>
      <c r="Q110" s="2817"/>
    </row>
    <row r="111" spans="1:17" s="2795" customFormat="1" ht="15" thickTop="1">
      <c r="A111" s="2787"/>
      <c r="B111" s="2844" t="s">
        <v>1636</v>
      </c>
      <c r="C111" s="2676" t="str">
        <f>C112&amp;"(含)"&amp;"-"&amp;D112</f>
        <v>0.5(含)-0.6</v>
      </c>
      <c r="D111" s="2676" t="str">
        <f>D112&amp;"(含)"&amp;"-"&amp;E112</f>
        <v>0.6(含)-0.7</v>
      </c>
      <c r="E111" s="2676" t="str">
        <f>E112&amp;"(含)"&amp;"-"&amp;F112</f>
        <v>0.7(含)-0.8</v>
      </c>
      <c r="F111" s="2676" t="str">
        <f>F112&amp;"(含)"&amp;"-"&amp;G112</f>
        <v>0.8(含)-0.9</v>
      </c>
      <c r="G111" s="2676" t="str">
        <f>G112&amp;"(含)"&amp;"-"&amp;ROUND(H112,0)&amp;"(含)"</f>
        <v>0.9(含)-1(含)</v>
      </c>
      <c r="H111" s="2676" t="str">
        <f>ROUND(H112,0)&amp;"(含)"&amp;"-"&amp;I112</f>
        <v>1(含)-</v>
      </c>
      <c r="I111" s="2676"/>
      <c r="J111" s="2678"/>
      <c r="K111" s="2678"/>
      <c r="L111" s="2882"/>
      <c r="M111" s="2883"/>
      <c r="N111" s="2855"/>
      <c r="O111" s="2855"/>
      <c r="P111" s="2856"/>
      <c r="Q111" s="2857"/>
    </row>
    <row r="112" spans="1:17" s="2795" customFormat="1">
      <c r="A112" s="2787"/>
      <c r="B112" s="2849"/>
      <c r="C112" s="2649">
        <v>0.5</v>
      </c>
      <c r="D112" s="2649">
        <v>0.6</v>
      </c>
      <c r="E112" s="2649">
        <v>0.7</v>
      </c>
      <c r="F112" s="2649">
        <v>0.8</v>
      </c>
      <c r="G112" s="2649">
        <v>0.9</v>
      </c>
      <c r="H112" s="2649">
        <v>1.0001</v>
      </c>
      <c r="I112" s="2649"/>
      <c r="J112" s="2790"/>
      <c r="K112" s="2790"/>
      <c r="L112" s="2884"/>
      <c r="M112" s="2885"/>
      <c r="N112" s="2855"/>
      <c r="O112" s="2855"/>
      <c r="P112" s="2856"/>
      <c r="Q112" s="2857"/>
    </row>
    <row r="113" spans="1:17" s="2795" customFormat="1" ht="14.4" thickBot="1">
      <c r="A113" s="2852"/>
      <c r="B113" s="2847"/>
      <c r="C113" s="2677">
        <v>100</v>
      </c>
      <c r="D113" s="2663">
        <f>C113+$K37</f>
        <v>101</v>
      </c>
      <c r="E113" s="2663">
        <f>D113+$K37</f>
        <v>102</v>
      </c>
      <c r="F113" s="2663">
        <f>E113+$K37</f>
        <v>103</v>
      </c>
      <c r="G113" s="2663">
        <f>F113+$K37</f>
        <v>104</v>
      </c>
      <c r="H113" s="2663">
        <f>G113+$K37</f>
        <v>105</v>
      </c>
      <c r="I113" s="2677"/>
      <c r="J113" s="2679"/>
      <c r="K113" s="2679"/>
      <c r="L113" s="2679"/>
      <c r="M113" s="2886"/>
      <c r="N113" s="2855"/>
      <c r="O113" s="2855"/>
      <c r="P113" s="2856"/>
      <c r="Q113" s="2857"/>
    </row>
    <row r="114" spans="1:17" ht="15" thickTop="1">
      <c r="A114" s="2796"/>
      <c r="B114" s="2844" t="s">
        <v>2195</v>
      </c>
      <c r="C114" s="2666"/>
      <c r="D114" s="2666"/>
      <c r="E114" s="2682"/>
      <c r="F114" s="2682"/>
      <c r="G114" s="2682"/>
      <c r="H114" s="2682"/>
      <c r="I114" s="2682"/>
      <c r="J114" s="2682"/>
      <c r="K114" s="2683"/>
      <c r="L114" s="2874"/>
      <c r="M114" s="2875"/>
      <c r="N114" s="2840"/>
      <c r="O114" s="2840"/>
      <c r="P114" s="2826"/>
      <c r="Q114" s="2817"/>
    </row>
    <row r="115" spans="1:17" ht="14.4" thickBot="1">
      <c r="A115" s="2758"/>
      <c r="B115" s="2847"/>
      <c r="C115" s="2663">
        <v>100</v>
      </c>
      <c r="D115" s="2663">
        <f t="shared" ref="D115:M115" si="31">C115-$K38</f>
        <v>99</v>
      </c>
      <c r="E115" s="2663">
        <f t="shared" si="31"/>
        <v>98</v>
      </c>
      <c r="F115" s="2663">
        <f t="shared" si="31"/>
        <v>97</v>
      </c>
      <c r="G115" s="2663">
        <f t="shared" si="31"/>
        <v>96</v>
      </c>
      <c r="H115" s="2663">
        <f t="shared" si="31"/>
        <v>95</v>
      </c>
      <c r="I115" s="2663">
        <f t="shared" si="31"/>
        <v>94</v>
      </c>
      <c r="J115" s="2663">
        <f t="shared" si="31"/>
        <v>93</v>
      </c>
      <c r="K115" s="2663">
        <f t="shared" si="31"/>
        <v>92</v>
      </c>
      <c r="L115" s="2663">
        <f t="shared" si="31"/>
        <v>91</v>
      </c>
      <c r="M115" s="2663">
        <f t="shared" si="31"/>
        <v>90</v>
      </c>
      <c r="N115" s="2843"/>
      <c r="O115" s="2843"/>
      <c r="P115" s="2826"/>
      <c r="Q115" s="2817"/>
    </row>
    <row r="116" spans="1:17" ht="15" thickTop="1">
      <c r="A116" s="2796"/>
      <c r="B116" s="2844" t="s">
        <v>2196</v>
      </c>
      <c r="C116" s="2666"/>
      <c r="D116" s="2666"/>
      <c r="E116" s="2666"/>
      <c r="F116" s="2666"/>
      <c r="G116" s="2666"/>
      <c r="H116" s="2682"/>
      <c r="I116" s="2682"/>
      <c r="J116" s="2682"/>
      <c r="K116" s="2683"/>
      <c r="L116" s="2874"/>
      <c r="M116" s="2875"/>
      <c r="N116" s="2840"/>
      <c r="O116" s="2840"/>
      <c r="P116" s="2826"/>
      <c r="Q116" s="2817"/>
    </row>
    <row r="117" spans="1:17" ht="14.4" thickBot="1">
      <c r="A117" s="2758"/>
      <c r="B117" s="2847"/>
      <c r="C117" s="2663">
        <v>100</v>
      </c>
      <c r="D117" s="2663">
        <f>C117-$K39</f>
        <v>99</v>
      </c>
      <c r="E117" s="2663">
        <f>D117-$K39</f>
        <v>98</v>
      </c>
      <c r="F117" s="2663">
        <f>E117-$K39</f>
        <v>97</v>
      </c>
      <c r="G117" s="2663">
        <f>F117-$K39</f>
        <v>96</v>
      </c>
      <c r="H117" s="2663"/>
      <c r="I117" s="2663"/>
      <c r="J117" s="2663"/>
      <c r="K117" s="2663"/>
      <c r="L117" s="2663"/>
      <c r="M117" s="2848"/>
      <c r="N117" s="2843"/>
      <c r="O117" s="2843"/>
      <c r="P117" s="2826"/>
      <c r="Q117" s="2817"/>
    </row>
    <row r="118" spans="1:17" ht="15" thickTop="1">
      <c r="A118" s="2796"/>
      <c r="B118" s="2844" t="s">
        <v>2197</v>
      </c>
      <c r="C118" s="2682"/>
      <c r="D118" s="2682"/>
      <c r="E118" s="2682"/>
      <c r="F118" s="2682"/>
      <c r="G118" s="2682"/>
      <c r="H118" s="2682"/>
      <c r="I118" s="2682"/>
      <c r="J118" s="2682"/>
      <c r="K118" s="2683"/>
      <c r="L118" s="2874"/>
      <c r="M118" s="2875"/>
      <c r="N118" s="2840"/>
      <c r="O118" s="2840"/>
      <c r="P118" s="2826"/>
      <c r="Q118" s="2817"/>
    </row>
    <row r="119" spans="1:17" ht="14.4" thickBot="1">
      <c r="A119" s="2758"/>
      <c r="B119" s="2847"/>
      <c r="C119" s="2663">
        <v>100</v>
      </c>
      <c r="D119" s="2663">
        <f t="shared" ref="D119:M119" si="32">C119-$K40</f>
        <v>100</v>
      </c>
      <c r="E119" s="2663">
        <f t="shared" si="32"/>
        <v>100</v>
      </c>
      <c r="F119" s="2663">
        <f t="shared" si="32"/>
        <v>100</v>
      </c>
      <c r="G119" s="2663">
        <f t="shared" si="32"/>
        <v>100</v>
      </c>
      <c r="H119" s="2663">
        <f t="shared" si="32"/>
        <v>100</v>
      </c>
      <c r="I119" s="2663">
        <f t="shared" si="32"/>
        <v>100</v>
      </c>
      <c r="J119" s="2663">
        <f t="shared" si="32"/>
        <v>100</v>
      </c>
      <c r="K119" s="2663">
        <f t="shared" si="32"/>
        <v>100</v>
      </c>
      <c r="L119" s="2663">
        <f t="shared" si="32"/>
        <v>100</v>
      </c>
      <c r="M119" s="2663">
        <f t="shared" si="32"/>
        <v>100</v>
      </c>
      <c r="N119" s="2843"/>
      <c r="O119" s="2843"/>
      <c r="P119" s="2826"/>
      <c r="Q119" s="2817"/>
    </row>
    <row r="120" spans="1:17" s="2795" customFormat="1" ht="29.4" thickTop="1">
      <c r="A120" s="2787"/>
      <c r="B120" s="2844" t="s">
        <v>2152</v>
      </c>
      <c r="C120" s="2666"/>
      <c r="D120" s="2666"/>
      <c r="E120" s="2666"/>
      <c r="F120" s="2666"/>
      <c r="G120" s="2666"/>
      <c r="H120" s="2666"/>
      <c r="I120" s="2666"/>
      <c r="J120" s="2666"/>
      <c r="K120" s="2666"/>
      <c r="L120" s="2871"/>
      <c r="M120" s="2872"/>
      <c r="N120" s="2855"/>
      <c r="O120" s="2855"/>
      <c r="P120" s="2856"/>
      <c r="Q120" s="2857"/>
    </row>
    <row r="121" spans="1:17" s="2795" customFormat="1" ht="14.4" thickBot="1">
      <c r="A121" s="2852"/>
      <c r="B121" s="2841"/>
      <c r="C121" s="2668"/>
      <c r="D121" s="2660"/>
      <c r="E121" s="2660"/>
      <c r="F121" s="2660"/>
      <c r="G121" s="2660"/>
      <c r="H121" s="2660"/>
      <c r="I121" s="2660"/>
      <c r="J121" s="2660"/>
      <c r="K121" s="2660"/>
      <c r="L121" s="2660"/>
      <c r="M121" s="2660"/>
      <c r="N121" s="2855"/>
      <c r="O121" s="2855"/>
      <c r="P121" s="2856"/>
      <c r="Q121" s="2857"/>
    </row>
    <row r="122" spans="1:17" ht="15" thickTop="1">
      <c r="A122" s="2796"/>
      <c r="B122" s="2844" t="s">
        <v>2198</v>
      </c>
      <c r="C122" s="2666"/>
      <c r="D122" s="2666"/>
      <c r="E122" s="2666"/>
      <c r="F122" s="2682"/>
      <c r="G122" s="2682"/>
      <c r="H122" s="2682"/>
      <c r="I122" s="2682"/>
      <c r="J122" s="2682"/>
      <c r="K122" s="2683"/>
      <c r="L122" s="2874"/>
      <c r="M122" s="2875"/>
      <c r="N122" s="2840"/>
      <c r="O122" s="2840"/>
      <c r="P122" s="2826"/>
      <c r="Q122" s="2817"/>
    </row>
    <row r="123" spans="1:17" ht="14.4" thickBot="1">
      <c r="A123" s="2758"/>
      <c r="B123" s="2847"/>
      <c r="C123" s="2663">
        <v>100</v>
      </c>
      <c r="D123" s="2663">
        <f t="shared" ref="D123:M123" si="33">C123-$K42</f>
        <v>100</v>
      </c>
      <c r="E123" s="2663">
        <f t="shared" si="33"/>
        <v>100</v>
      </c>
      <c r="F123" s="2663">
        <f t="shared" si="33"/>
        <v>100</v>
      </c>
      <c r="G123" s="2663">
        <f t="shared" si="33"/>
        <v>100</v>
      </c>
      <c r="H123" s="2663">
        <f t="shared" si="33"/>
        <v>100</v>
      </c>
      <c r="I123" s="2663">
        <f t="shared" si="33"/>
        <v>100</v>
      </c>
      <c r="J123" s="2663">
        <f t="shared" si="33"/>
        <v>100</v>
      </c>
      <c r="K123" s="2663">
        <f t="shared" si="33"/>
        <v>100</v>
      </c>
      <c r="L123" s="2663">
        <f t="shared" si="33"/>
        <v>100</v>
      </c>
      <c r="M123" s="2663">
        <f t="shared" si="33"/>
        <v>100</v>
      </c>
      <c r="N123" s="2843"/>
      <c r="O123" s="2843"/>
      <c r="P123" s="2826"/>
      <c r="Q123" s="2817"/>
    </row>
    <row r="124" spans="1:17" ht="29.4" thickTop="1">
      <c r="A124" s="2796"/>
      <c r="B124" s="2844" t="s">
        <v>2199</v>
      </c>
      <c r="C124" s="2676" t="s">
        <v>2175</v>
      </c>
      <c r="D124" s="2676" t="s">
        <v>2176</v>
      </c>
      <c r="E124" s="2676" t="s">
        <v>2177</v>
      </c>
      <c r="F124" s="2676" t="s">
        <v>2178</v>
      </c>
      <c r="G124" s="2676" t="s">
        <v>2179</v>
      </c>
      <c r="H124" s="2661"/>
      <c r="I124" s="2661"/>
      <c r="J124" s="2661"/>
      <c r="K124" s="2662"/>
      <c r="L124" s="2845"/>
      <c r="M124" s="2846"/>
      <c r="N124" s="2840"/>
      <c r="O124" s="2840"/>
      <c r="P124" s="2856"/>
      <c r="Q124" s="2817"/>
    </row>
    <row r="125" spans="1:17" ht="14.4" thickBot="1">
      <c r="A125" s="2758"/>
      <c r="B125" s="2847"/>
      <c r="C125" s="2663">
        <v>100</v>
      </c>
      <c r="D125" s="2663">
        <f>C125-$K43</f>
        <v>100</v>
      </c>
      <c r="E125" s="2663">
        <f>D125-$K43</f>
        <v>100</v>
      </c>
      <c r="F125" s="2663">
        <f>E125-$K43</f>
        <v>100</v>
      </c>
      <c r="G125" s="2663">
        <f>F125-$K43</f>
        <v>100</v>
      </c>
      <c r="H125" s="2663"/>
      <c r="I125" s="2663"/>
      <c r="J125" s="2663"/>
      <c r="K125" s="2663"/>
      <c r="L125" s="2663"/>
      <c r="M125" s="2848"/>
      <c r="N125" s="2843"/>
      <c r="O125" s="2843"/>
      <c r="P125" s="2826"/>
      <c r="Q125" s="2817"/>
    </row>
    <row r="126" spans="1:17" s="2795" customFormat="1" ht="14.4" thickTop="1">
      <c r="A126" s="2787"/>
      <c r="B126" s="2844">
        <f>B44</f>
        <v>111</v>
      </c>
      <c r="C126" s="2666"/>
      <c r="D126" s="2666"/>
      <c r="E126" s="2666"/>
      <c r="F126" s="2666"/>
      <c r="G126" s="2666"/>
      <c r="H126" s="2667"/>
      <c r="I126" s="2667"/>
      <c r="J126" s="2667"/>
      <c r="K126" s="2667"/>
      <c r="L126" s="2853"/>
      <c r="M126" s="2854"/>
      <c r="N126" s="2855"/>
      <c r="O126" s="2855"/>
      <c r="P126" s="2856"/>
      <c r="Q126" s="2857"/>
    </row>
    <row r="127" spans="1:17" s="2795" customFormat="1" ht="14.4" thickBot="1">
      <c r="A127" s="2852"/>
      <c r="B127" s="2847"/>
      <c r="C127" s="2668"/>
      <c r="D127" s="2660"/>
      <c r="E127" s="2660"/>
      <c r="F127" s="2660"/>
      <c r="G127" s="2668"/>
      <c r="H127" s="2669"/>
      <c r="I127" s="2669"/>
      <c r="J127" s="2669"/>
      <c r="K127" s="2669"/>
      <c r="L127" s="2669"/>
      <c r="M127" s="2860"/>
      <c r="N127" s="2855"/>
      <c r="O127" s="2855"/>
      <c r="P127" s="2856"/>
      <c r="Q127" s="2857"/>
    </row>
    <row r="128" spans="1:17" ht="14.4" thickTop="1">
      <c r="A128" s="2796"/>
      <c r="B128" s="2844">
        <f>B45</f>
        <v>111</v>
      </c>
      <c r="C128" s="2666"/>
      <c r="D128" s="2666"/>
      <c r="E128" s="2666"/>
      <c r="F128" s="2666"/>
      <c r="G128" s="2682"/>
      <c r="H128" s="2682"/>
      <c r="I128" s="2682"/>
      <c r="J128" s="2682"/>
      <c r="K128" s="2683"/>
      <c r="L128" s="2874"/>
      <c r="M128" s="2875"/>
      <c r="N128" s="2840"/>
      <c r="O128" s="2840"/>
      <c r="P128" s="2826"/>
      <c r="Q128" s="2817"/>
    </row>
    <row r="129" spans="1:17" ht="14.4" thickBot="1">
      <c r="A129" s="2758"/>
      <c r="B129" s="2847"/>
      <c r="C129" s="2668"/>
      <c r="D129" s="2668"/>
      <c r="E129" s="2668"/>
      <c r="F129" s="2668"/>
      <c r="G129" s="2660"/>
      <c r="H129" s="2660"/>
      <c r="I129" s="2660"/>
      <c r="J129" s="2660"/>
      <c r="K129" s="2660"/>
      <c r="L129" s="2660"/>
      <c r="M129" s="2842"/>
      <c r="N129" s="2843"/>
      <c r="O129" s="2843"/>
      <c r="P129" s="2826"/>
      <c r="Q129" s="2817"/>
    </row>
    <row r="130" spans="1:17" ht="14.4" thickTop="1">
      <c r="A130" s="2796"/>
      <c r="B130" s="2849">
        <f>B46</f>
        <v>111</v>
      </c>
      <c r="C130" s="2666"/>
      <c r="D130" s="2666"/>
      <c r="E130" s="2666"/>
      <c r="F130" s="2666"/>
      <c r="G130" s="2684"/>
      <c r="H130" s="2684"/>
      <c r="I130" s="2684"/>
      <c r="J130" s="2684"/>
      <c r="K130" s="2654"/>
      <c r="L130" s="2832"/>
      <c r="M130" s="2877"/>
      <c r="N130" s="2840"/>
      <c r="O130" s="2840"/>
      <c r="P130" s="2826"/>
      <c r="Q130" s="2817"/>
    </row>
    <row r="131" spans="1:17" ht="14.4" thickBot="1">
      <c r="A131" s="2764"/>
      <c r="B131" s="2865"/>
      <c r="C131" s="2671"/>
      <c r="D131" s="2671"/>
      <c r="E131" s="2671"/>
      <c r="F131" s="2671"/>
      <c r="G131" s="2686"/>
      <c r="H131" s="2686"/>
      <c r="I131" s="2686"/>
      <c r="J131" s="2686"/>
      <c r="K131" s="2686"/>
      <c r="L131" s="2686"/>
      <c r="M131" s="2878"/>
      <c r="N131" s="2843"/>
      <c r="O131" s="2843"/>
      <c r="P131" s="2826"/>
      <c r="Q131" s="2817"/>
    </row>
    <row r="136" spans="1:17" ht="15" thickBot="1">
      <c r="B136" s="2887" t="s">
        <v>2200</v>
      </c>
    </row>
    <row r="137" spans="1:17" ht="15">
      <c r="B137" s="2888" t="s">
        <v>2201</v>
      </c>
      <c r="C137" s="2889"/>
      <c r="D137" s="2889"/>
      <c r="E137" s="2889"/>
      <c r="F137" s="2889"/>
      <c r="G137" s="2890"/>
      <c r="H137" s="2891"/>
      <c r="I137" s="2892" t="s">
        <v>2202</v>
      </c>
      <c r="J137" s="2889"/>
      <c r="K137" s="2893"/>
    </row>
    <row r="138" spans="1:17" ht="15">
      <c r="B138" s="2894"/>
      <c r="C138" s="2895" t="s">
        <v>2203</v>
      </c>
      <c r="D138" s="2895" t="s">
        <v>2204</v>
      </c>
      <c r="E138" s="2896" t="s">
        <v>2205</v>
      </c>
      <c r="F138" s="2897" t="s">
        <v>2206</v>
      </c>
      <c r="G138" s="2895" t="s">
        <v>2204</v>
      </c>
      <c r="H138" s="2898" t="s">
        <v>2205</v>
      </c>
      <c r="I138" s="2899"/>
      <c r="J138" s="2895" t="s">
        <v>2207</v>
      </c>
      <c r="K138" s="2898" t="s">
        <v>2208</v>
      </c>
    </row>
    <row r="139" spans="1:17" ht="15">
      <c r="B139" s="2900">
        <v>6</v>
      </c>
      <c r="C139" s="2901">
        <v>96</v>
      </c>
      <c r="D139" s="2902" t="s">
        <v>2209</v>
      </c>
      <c r="E139" s="2903">
        <v>100</v>
      </c>
      <c r="F139" s="2904">
        <v>102.5</v>
      </c>
      <c r="G139" s="2902" t="s">
        <v>2209</v>
      </c>
      <c r="H139" s="2905">
        <v>105</v>
      </c>
      <c r="I139" s="2906" t="s">
        <v>2210</v>
      </c>
      <c r="J139" s="2901">
        <v>20</v>
      </c>
      <c r="K139" s="2907">
        <f>C145/(J139-2)</f>
        <v>4.0555555555555553E-3</v>
      </c>
    </row>
    <row r="140" spans="1:17" ht="15">
      <c r="B140" s="2908">
        <v>5</v>
      </c>
      <c r="C140" s="2909">
        <v>100</v>
      </c>
      <c r="D140" s="2909"/>
      <c r="E140" s="2910"/>
      <c r="F140" s="2911">
        <v>102</v>
      </c>
      <c r="G140" s="2909"/>
      <c r="H140" s="2912"/>
      <c r="I140" s="2913" t="s">
        <v>2211</v>
      </c>
      <c r="J140" s="2518">
        <f>ROUNDUP((J139-1)/2,0)</f>
        <v>10</v>
      </c>
      <c r="K140" s="2914">
        <v>100</v>
      </c>
    </row>
    <row r="141" spans="1:17" ht="15">
      <c r="B141" s="2908">
        <v>4</v>
      </c>
      <c r="C141" s="2909">
        <v>102</v>
      </c>
      <c r="D141" s="2909"/>
      <c r="E141" s="2910"/>
      <c r="F141" s="2911">
        <v>101.5</v>
      </c>
      <c r="G141" s="2909"/>
      <c r="H141" s="2912"/>
      <c r="I141" s="2913" t="s">
        <v>2212</v>
      </c>
      <c r="J141" s="2518">
        <v>1</v>
      </c>
      <c r="K141" s="2914">
        <f>ROUND(100+(J141-J140)*K139*100,1)</f>
        <v>96.4</v>
      </c>
    </row>
    <row r="142" spans="1:17" ht="15">
      <c r="B142" s="2908">
        <v>3</v>
      </c>
      <c r="C142" s="2909">
        <v>103</v>
      </c>
      <c r="D142" s="2909"/>
      <c r="E142" s="2910"/>
      <c r="F142" s="2911">
        <v>101</v>
      </c>
      <c r="G142" s="2909"/>
      <c r="H142" s="2912"/>
      <c r="I142" s="2913" t="s">
        <v>2213</v>
      </c>
      <c r="J142" s="2518">
        <f>J139</f>
        <v>20</v>
      </c>
      <c r="K142" s="2912">
        <v>95</v>
      </c>
    </row>
    <row r="143" spans="1:17" ht="15">
      <c r="B143" s="2908">
        <v>2</v>
      </c>
      <c r="C143" s="2909">
        <v>100</v>
      </c>
      <c r="D143" s="2909"/>
      <c r="E143" s="2910"/>
      <c r="F143" s="2911">
        <v>100.5</v>
      </c>
      <c r="G143" s="2909"/>
      <c r="H143" s="2912"/>
      <c r="I143" s="2913" t="s">
        <v>2214</v>
      </c>
      <c r="J143" s="2909">
        <v>15</v>
      </c>
      <c r="K143" s="2914">
        <f>ROUND(100+(J143-J140)*K139*100,1)</f>
        <v>102</v>
      </c>
    </row>
    <row r="144" spans="1:17" ht="15">
      <c r="B144" s="2908">
        <v>1</v>
      </c>
      <c r="C144" s="2909">
        <v>98</v>
      </c>
      <c r="D144" s="2915" t="s">
        <v>2215</v>
      </c>
      <c r="E144" s="2910">
        <v>102</v>
      </c>
      <c r="F144" s="2916">
        <v>100</v>
      </c>
      <c r="G144" s="2915" t="s">
        <v>2215</v>
      </c>
      <c r="H144" s="2912">
        <v>105</v>
      </c>
      <c r="I144" s="2913" t="s">
        <v>2214</v>
      </c>
      <c r="J144" s="2909">
        <v>18</v>
      </c>
      <c r="K144" s="2914">
        <f>ROUND(100+(J144-J140)*K139*100,1)</f>
        <v>103.2</v>
      </c>
    </row>
    <row r="145" spans="2:11" ht="16.2" thickBot="1">
      <c r="B145" s="2917" t="s">
        <v>2216</v>
      </c>
      <c r="C145" s="2918">
        <f>ROUND(MAX(C139:C144)/MIN(C139:C144)-1,3)</f>
        <v>7.2999999999999995E-2</v>
      </c>
      <c r="D145" s="2919"/>
      <c r="E145" s="2919"/>
      <c r="F145" s="2920" t="s">
        <v>2217</v>
      </c>
      <c r="G145" s="2921"/>
      <c r="H145" s="2922"/>
      <c r="I145" s="2923" t="s">
        <v>2214</v>
      </c>
      <c r="J145" s="2924">
        <v>8</v>
      </c>
      <c r="K145" s="2925">
        <f>ROUND(100+(J145-J140)*K139*100,1)</f>
        <v>99.2</v>
      </c>
    </row>
    <row r="147" spans="2:11" ht="14.4">
      <c r="B147" s="2887" t="s">
        <v>2218</v>
      </c>
    </row>
    <row r="148" spans="2:11" ht="14.4">
      <c r="B148" s="2887"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219" customWidth="1"/>
    <col min="2" max="2" width="15.77734375" style="219" customWidth="1"/>
    <col min="3" max="3" width="15.10937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1490"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122002.77</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4.4">
      <c r="A4" s="217" t="s">
        <v>2223</v>
      </c>
      <c r="B4" s="218"/>
      <c r="C4" s="3915" t="s">
        <v>2224</v>
      </c>
      <c r="D4" s="3916"/>
      <c r="E4" s="3917" t="s">
        <v>2225</v>
      </c>
      <c r="F4" s="3918"/>
      <c r="G4" s="3915" t="s">
        <v>2226</v>
      </c>
      <c r="H4" s="3916"/>
      <c r="I4" s="3915" t="s">
        <v>2227</v>
      </c>
      <c r="J4" s="3916"/>
      <c r="K4" s="414" t="s">
        <v>2228</v>
      </c>
      <c r="L4" s="2101"/>
      <c r="M4" s="2102"/>
      <c r="N4" s="2102"/>
      <c r="O4" s="2102"/>
      <c r="P4" s="3824" t="s">
        <v>2229</v>
      </c>
      <c r="Q4" s="3825"/>
      <c r="R4" s="3806" t="s">
        <v>2225</v>
      </c>
      <c r="S4" s="3807"/>
      <c r="T4" s="3806" t="s">
        <v>2226</v>
      </c>
      <c r="U4" s="3807"/>
      <c r="V4" s="3832" t="s">
        <v>2227</v>
      </c>
      <c r="W4" s="3832"/>
      <c r="X4" s="1161"/>
      <c r="Y4" s="3806" t="s">
        <v>2229</v>
      </c>
      <c r="Z4" s="3807"/>
      <c r="AA4" s="3801" t="s">
        <v>2225</v>
      </c>
      <c r="AB4" s="3832" t="s">
        <v>2226</v>
      </c>
      <c r="AC4" s="3801" t="s">
        <v>2227</v>
      </c>
    </row>
    <row r="5" spans="1:29">
      <c r="A5" s="220"/>
      <c r="B5" s="221"/>
      <c r="C5" s="3908" t="s">
        <v>2120</v>
      </c>
      <c r="D5" s="3909"/>
      <c r="E5" s="3906" t="s">
        <v>2121</v>
      </c>
      <c r="F5" s="3907"/>
      <c r="G5" s="3908" t="s">
        <v>2122</v>
      </c>
      <c r="H5" s="3909"/>
      <c r="I5" s="3908" t="s">
        <v>2123</v>
      </c>
      <c r="J5" s="3909"/>
      <c r="K5" s="414"/>
      <c r="L5" s="2101"/>
      <c r="M5" s="2102"/>
      <c r="N5" s="2102"/>
      <c r="O5" s="2102"/>
      <c r="P5" s="3826"/>
      <c r="Q5" s="3827"/>
      <c r="R5" s="3808"/>
      <c r="S5" s="3809"/>
      <c r="T5" s="3808"/>
      <c r="U5" s="3809"/>
      <c r="V5" s="3832"/>
      <c r="W5" s="3832"/>
      <c r="X5" s="1161"/>
      <c r="Y5" s="3808"/>
      <c r="Z5" s="3809"/>
      <c r="AA5" s="3802"/>
      <c r="AB5" s="3832"/>
      <c r="AC5" s="3802"/>
    </row>
    <row r="6" spans="1:29" ht="15" thickBot="1">
      <c r="A6" s="222"/>
      <c r="B6" s="223"/>
      <c r="C6" s="3910" t="s">
        <v>2124</v>
      </c>
      <c r="D6" s="3911"/>
      <c r="E6" s="3912" t="s">
        <v>2124</v>
      </c>
      <c r="F6" s="3913"/>
      <c r="G6" s="3910" t="s">
        <v>2124</v>
      </c>
      <c r="H6" s="3911"/>
      <c r="I6" s="3910" t="s">
        <v>2124</v>
      </c>
      <c r="J6" s="3911"/>
      <c r="K6" s="414" t="s">
        <v>2125</v>
      </c>
      <c r="L6" s="2101"/>
      <c r="M6" s="2102"/>
      <c r="N6" s="2102"/>
      <c r="O6" s="2102"/>
      <c r="P6" s="3828"/>
      <c r="Q6" s="3829"/>
      <c r="R6" s="3808"/>
      <c r="S6" s="3809"/>
      <c r="T6" s="3830"/>
      <c r="U6" s="3831"/>
      <c r="V6" s="3832"/>
      <c r="W6" s="3832"/>
      <c r="X6" s="1161"/>
      <c r="Y6" s="3830"/>
      <c r="Z6" s="3831"/>
      <c r="AA6" s="3803"/>
      <c r="AB6" s="3832"/>
      <c r="AC6" s="3803"/>
    </row>
    <row r="7" spans="1:29" s="50" customFormat="1" ht="1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04" t="s">
        <v>2127</v>
      </c>
      <c r="Q7" s="3833"/>
      <c r="R7" s="514" t="s">
        <v>17</v>
      </c>
      <c r="S7" s="515">
        <f t="shared" ref="S7:S15" si="0">F7</f>
        <v>0</v>
      </c>
      <c r="T7" s="514" t="s">
        <v>17</v>
      </c>
      <c r="U7" s="515">
        <f t="shared" ref="U7:U15" si="1">H7</f>
        <v>0</v>
      </c>
      <c r="V7" s="514" t="s">
        <v>17</v>
      </c>
      <c r="W7" s="515">
        <f t="shared" ref="W7:W15" si="2">J7</f>
        <v>0</v>
      </c>
      <c r="X7" s="516"/>
      <c r="Y7" s="3804" t="s">
        <v>2127</v>
      </c>
      <c r="Z7" s="3805"/>
      <c r="AA7" s="517" t="e">
        <f>D7/F7</f>
        <v>#DIV/0!</v>
      </c>
      <c r="AB7" s="517" t="e">
        <f>D7/H7</f>
        <v>#DIV/0!</v>
      </c>
      <c r="AC7" s="517" t="e">
        <f>D7/J7</f>
        <v>#DIV/0!</v>
      </c>
    </row>
    <row r="8" spans="1:29" s="50" customFormat="1" ht="1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04" t="s">
        <v>2130</v>
      </c>
      <c r="Q8" s="3805"/>
      <c r="R8" s="514" t="s">
        <v>17</v>
      </c>
      <c r="S8" s="515">
        <f t="shared" si="0"/>
        <v>0</v>
      </c>
      <c r="T8" s="514" t="s">
        <v>17</v>
      </c>
      <c r="U8" s="515">
        <f t="shared" si="1"/>
        <v>0</v>
      </c>
      <c r="V8" s="514" t="s">
        <v>17</v>
      </c>
      <c r="W8" s="515">
        <f t="shared" si="2"/>
        <v>0</v>
      </c>
      <c r="X8" s="516"/>
      <c r="Y8" s="3804" t="s">
        <v>2130</v>
      </c>
      <c r="Z8" s="3805"/>
      <c r="AA8" s="517" t="e">
        <f t="shared" ref="AA8:AA46" si="3">D8/F8</f>
        <v>#DIV/0!</v>
      </c>
      <c r="AB8" s="517" t="e">
        <f t="shared" ref="AB8:AB46" si="4">D8/H8</f>
        <v>#DIV/0!</v>
      </c>
      <c r="AC8" s="517" t="e">
        <f t="shared" ref="AC8:AC46" si="5">D8/J8</f>
        <v>#DIV/0!</v>
      </c>
    </row>
    <row r="9" spans="1:29" s="50" customFormat="1" ht="14.4">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4" t="s">
        <v>2133</v>
      </c>
      <c r="Q9" s="1150" t="str">
        <f t="shared" ref="Q9:Q15" si="6">B9</f>
        <v>用途</v>
      </c>
      <c r="R9" s="514" t="s">
        <v>17</v>
      </c>
      <c r="S9" s="515">
        <f t="shared" si="0"/>
        <v>100</v>
      </c>
      <c r="T9" s="514" t="s">
        <v>17</v>
      </c>
      <c r="U9" s="515">
        <f t="shared" si="1"/>
        <v>100</v>
      </c>
      <c r="V9" s="514" t="s">
        <v>17</v>
      </c>
      <c r="W9" s="515">
        <f t="shared" si="2"/>
        <v>100</v>
      </c>
      <c r="X9" s="516"/>
      <c r="Y9" s="3819" t="s">
        <v>2134</v>
      </c>
      <c r="Z9" s="46" t="str">
        <f t="shared" ref="Z9:Z15" si="7">Q9</f>
        <v>用途</v>
      </c>
      <c r="AA9" s="517">
        <f t="shared" si="3"/>
        <v>1</v>
      </c>
      <c r="AB9" s="517">
        <f t="shared" si="4"/>
        <v>1</v>
      </c>
      <c r="AC9" s="517">
        <f t="shared" si="5"/>
        <v>1</v>
      </c>
    </row>
    <row r="10" spans="1:29" s="241" customFormat="1" ht="28.8">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4"/>
      <c r="Q10" s="1150" t="str">
        <f t="shared" si="6"/>
        <v>土地使用年限（年）</v>
      </c>
      <c r="R10" s="514" t="s">
        <v>17</v>
      </c>
      <c r="S10" s="515">
        <f t="shared" si="0"/>
        <v>100</v>
      </c>
      <c r="T10" s="514" t="s">
        <v>17</v>
      </c>
      <c r="U10" s="515">
        <f t="shared" si="1"/>
        <v>100</v>
      </c>
      <c r="V10" s="514" t="s">
        <v>17</v>
      </c>
      <c r="W10" s="515">
        <f t="shared" si="2"/>
        <v>100</v>
      </c>
      <c r="X10" s="516"/>
      <c r="Y10" s="3819"/>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4"/>
      <c r="Q11" s="1150" t="str">
        <f t="shared" si="6"/>
        <v>容积率</v>
      </c>
      <c r="R11" s="514" t="s">
        <v>17</v>
      </c>
      <c r="S11" s="515" t="e">
        <f t="shared" si="0"/>
        <v>#N/A</v>
      </c>
      <c r="T11" s="514" t="s">
        <v>17</v>
      </c>
      <c r="U11" s="515" t="e">
        <f t="shared" si="1"/>
        <v>#N/A</v>
      </c>
      <c r="V11" s="514" t="s">
        <v>17</v>
      </c>
      <c r="W11" s="515" t="e">
        <f t="shared" si="2"/>
        <v>#N/A</v>
      </c>
      <c r="X11" s="516"/>
      <c r="Y11" s="3819"/>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4"/>
      <c r="Q12" s="1150">
        <f t="shared" si="6"/>
        <v>111</v>
      </c>
      <c r="R12" s="514" t="s">
        <v>17</v>
      </c>
      <c r="S12" s="515">
        <f t="shared" si="0"/>
        <v>100</v>
      </c>
      <c r="T12" s="514" t="s">
        <v>17</v>
      </c>
      <c r="U12" s="515">
        <f t="shared" si="1"/>
        <v>100</v>
      </c>
      <c r="V12" s="514" t="s">
        <v>17</v>
      </c>
      <c r="W12" s="515">
        <f t="shared" si="2"/>
        <v>100</v>
      </c>
      <c r="X12" s="516"/>
      <c r="Y12" s="3819"/>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4"/>
      <c r="Q13" s="1150">
        <f t="shared" si="6"/>
        <v>111</v>
      </c>
      <c r="R13" s="514" t="s">
        <v>17</v>
      </c>
      <c r="S13" s="515">
        <f t="shared" si="0"/>
        <v>100</v>
      </c>
      <c r="T13" s="514" t="s">
        <v>17</v>
      </c>
      <c r="U13" s="515">
        <f t="shared" si="1"/>
        <v>100</v>
      </c>
      <c r="V13" s="514" t="s">
        <v>17</v>
      </c>
      <c r="W13" s="515">
        <f t="shared" si="2"/>
        <v>100</v>
      </c>
      <c r="X13" s="516"/>
      <c r="Y13" s="3819"/>
      <c r="Z13" s="46">
        <f t="shared" si="7"/>
        <v>111</v>
      </c>
      <c r="AA13" s="517">
        <f t="shared" si="3"/>
        <v>1</v>
      </c>
      <c r="AB13" s="517">
        <f t="shared" si="4"/>
        <v>1</v>
      </c>
      <c r="AC13" s="517">
        <f t="shared" si="5"/>
        <v>1</v>
      </c>
    </row>
    <row r="14" spans="1:29" ht="15.6"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4"/>
      <c r="Q14" s="1150">
        <f t="shared" si="6"/>
        <v>111</v>
      </c>
      <c r="R14" s="514" t="s">
        <v>17</v>
      </c>
      <c r="S14" s="515">
        <f t="shared" si="0"/>
        <v>100</v>
      </c>
      <c r="T14" s="514" t="s">
        <v>17</v>
      </c>
      <c r="U14" s="515">
        <f t="shared" si="1"/>
        <v>100</v>
      </c>
      <c r="V14" s="514" t="s">
        <v>17</v>
      </c>
      <c r="W14" s="515">
        <f t="shared" si="2"/>
        <v>100</v>
      </c>
      <c r="X14" s="516"/>
      <c r="Y14" s="3819"/>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19" t="s">
        <v>2138</v>
      </c>
      <c r="Q15" s="1158" t="str">
        <f t="shared" si="6"/>
        <v>商业繁华度</v>
      </c>
      <c r="R15" s="518" t="s">
        <v>17</v>
      </c>
      <c r="S15" s="519">
        <f t="shared" si="0"/>
        <v>100</v>
      </c>
      <c r="T15" s="518" t="s">
        <v>17</v>
      </c>
      <c r="U15" s="519">
        <f t="shared" si="1"/>
        <v>100</v>
      </c>
      <c r="V15" s="518" t="s">
        <v>17</v>
      </c>
      <c r="W15" s="519">
        <f t="shared" si="2"/>
        <v>100</v>
      </c>
      <c r="X15" s="1161"/>
      <c r="Y15" s="3834"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20"/>
      <c r="Q16" s="1158"/>
      <c r="R16" s="518"/>
      <c r="S16" s="519"/>
      <c r="T16" s="518"/>
      <c r="U16" s="519"/>
      <c r="V16" s="518"/>
      <c r="W16" s="519"/>
      <c r="X16" s="1161"/>
      <c r="Y16" s="3835"/>
      <c r="Z16" s="1162"/>
      <c r="AA16" s="1159">
        <v>1</v>
      </c>
      <c r="AB16" s="1159">
        <v>1</v>
      </c>
      <c r="AC16" s="1159">
        <v>1</v>
      </c>
    </row>
    <row r="17" spans="1:29" ht="151.80000000000001">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20"/>
      <c r="Q17" s="1158" t="str">
        <f>B17</f>
        <v>交通便捷度</v>
      </c>
      <c r="R17" s="518" t="s">
        <v>17</v>
      </c>
      <c r="S17" s="519">
        <f>F17</f>
        <v>100</v>
      </c>
      <c r="T17" s="518" t="s">
        <v>17</v>
      </c>
      <c r="U17" s="519">
        <f>H17</f>
        <v>100</v>
      </c>
      <c r="V17" s="518" t="s">
        <v>17</v>
      </c>
      <c r="W17" s="519">
        <f>J17</f>
        <v>100</v>
      </c>
      <c r="X17" s="1161"/>
      <c r="Y17" s="3835"/>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20"/>
      <c r="Q18" s="1158"/>
      <c r="R18" s="518"/>
      <c r="S18" s="519"/>
      <c r="T18" s="518"/>
      <c r="U18" s="519"/>
      <c r="V18" s="518"/>
      <c r="W18" s="519"/>
      <c r="X18" s="1161"/>
      <c r="Y18" s="3835"/>
      <c r="Z18" s="1162"/>
      <c r="AA18" s="1159">
        <v>1</v>
      </c>
      <c r="AB18" s="1159">
        <v>1</v>
      </c>
      <c r="AC18" s="1159">
        <v>1</v>
      </c>
    </row>
    <row r="19" spans="1:29" ht="276">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20"/>
      <c r="Q19" s="1158" t="str">
        <f>B19</f>
        <v>公共配套设施</v>
      </c>
      <c r="R19" s="518" t="s">
        <v>17</v>
      </c>
      <c r="S19" s="519">
        <f>F19</f>
        <v>100</v>
      </c>
      <c r="T19" s="518" t="s">
        <v>17</v>
      </c>
      <c r="U19" s="519">
        <f>H19</f>
        <v>100</v>
      </c>
      <c r="V19" s="518" t="s">
        <v>17</v>
      </c>
      <c r="W19" s="519">
        <f>J19</f>
        <v>100</v>
      </c>
      <c r="X19" s="1161"/>
      <c r="Y19" s="3835"/>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20"/>
      <c r="Q20" s="1158"/>
      <c r="R20" s="518"/>
      <c r="S20" s="519"/>
      <c r="T20" s="518"/>
      <c r="U20" s="519"/>
      <c r="V20" s="518"/>
      <c r="W20" s="519"/>
      <c r="X20" s="1161"/>
      <c r="Y20" s="3835"/>
      <c r="Z20" s="1162"/>
      <c r="AA20" s="1159">
        <v>1</v>
      </c>
      <c r="AB20" s="1159">
        <v>1</v>
      </c>
      <c r="AC20" s="1159">
        <v>1</v>
      </c>
    </row>
    <row r="21" spans="1:29" ht="27.6">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20"/>
      <c r="Q21" s="1158" t="str">
        <f>B21</f>
        <v>基础设施水平</v>
      </c>
      <c r="R21" s="518" t="s">
        <v>17</v>
      </c>
      <c r="S21" s="519">
        <f>F21</f>
        <v>100</v>
      </c>
      <c r="T21" s="518" t="s">
        <v>17</v>
      </c>
      <c r="U21" s="519">
        <f>H21</f>
        <v>100</v>
      </c>
      <c r="V21" s="518" t="s">
        <v>17</v>
      </c>
      <c r="W21" s="519">
        <f>J21</f>
        <v>100</v>
      </c>
      <c r="X21" s="1161"/>
      <c r="Y21" s="3835"/>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20"/>
      <c r="Q22" s="1158"/>
      <c r="R22" s="518"/>
      <c r="S22" s="519"/>
      <c r="T22" s="518"/>
      <c r="U22" s="519"/>
      <c r="V22" s="518"/>
      <c r="W22" s="519"/>
      <c r="X22" s="1161"/>
      <c r="Y22" s="3835"/>
      <c r="Z22" s="1162"/>
      <c r="AA22" s="1159">
        <v>1</v>
      </c>
      <c r="AB22" s="1159">
        <v>1</v>
      </c>
      <c r="AC22" s="1159">
        <v>1</v>
      </c>
    </row>
    <row r="23" spans="1:29" ht="110.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20"/>
      <c r="Q23" s="1158" t="str">
        <f>B23</f>
        <v>自然及人文环境</v>
      </c>
      <c r="R23" s="518" t="s">
        <v>17</v>
      </c>
      <c r="S23" s="519">
        <f>F23</f>
        <v>100</v>
      </c>
      <c r="T23" s="518" t="s">
        <v>17</v>
      </c>
      <c r="U23" s="519">
        <f>H23</f>
        <v>100</v>
      </c>
      <c r="V23" s="518" t="s">
        <v>17</v>
      </c>
      <c r="W23" s="519">
        <f>J23</f>
        <v>100</v>
      </c>
      <c r="X23" s="1161"/>
      <c r="Y23" s="3835"/>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20"/>
      <c r="Q24" s="1158"/>
      <c r="R24" s="518"/>
      <c r="S24" s="519"/>
      <c r="T24" s="518"/>
      <c r="U24" s="519"/>
      <c r="V24" s="518"/>
      <c r="W24" s="519"/>
      <c r="X24" s="1161"/>
      <c r="Y24" s="3835"/>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20"/>
      <c r="Q25" s="1158" t="str">
        <f t="shared" ref="Q25:Q46" si="11">B25</f>
        <v>临街状况</v>
      </c>
      <c r="R25" s="518" t="s">
        <v>17</v>
      </c>
      <c r="S25" s="519">
        <f>F25</f>
        <v>100</v>
      </c>
      <c r="T25" s="518" t="s">
        <v>17</v>
      </c>
      <c r="U25" s="519">
        <f>H25</f>
        <v>100</v>
      </c>
      <c r="V25" s="518" t="s">
        <v>17</v>
      </c>
      <c r="W25" s="519">
        <f>J25</f>
        <v>100</v>
      </c>
      <c r="X25" s="1161"/>
      <c r="Y25" s="3835"/>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20"/>
      <c r="Q26" s="1158" t="str">
        <f t="shared" si="11"/>
        <v>平面位置/可视性</v>
      </c>
      <c r="R26" s="518" t="s">
        <v>17</v>
      </c>
      <c r="S26" s="519">
        <f>F26</f>
        <v>100</v>
      </c>
      <c r="T26" s="518" t="s">
        <v>17</v>
      </c>
      <c r="U26" s="519">
        <f>H26</f>
        <v>100</v>
      </c>
      <c r="V26" s="518" t="s">
        <v>17</v>
      </c>
      <c r="W26" s="519">
        <f>J26</f>
        <v>100</v>
      </c>
      <c r="X26" s="1161"/>
      <c r="Y26" s="3835"/>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20"/>
      <c r="Q27" s="1150" t="str">
        <f t="shared" si="11"/>
        <v>人流量</v>
      </c>
      <c r="R27" s="514" t="s">
        <v>17</v>
      </c>
      <c r="S27" s="515">
        <f>F27</f>
        <v>100</v>
      </c>
      <c r="T27" s="514" t="s">
        <v>17</v>
      </c>
      <c r="U27" s="515">
        <f>H27</f>
        <v>100</v>
      </c>
      <c r="V27" s="514" t="s">
        <v>17</v>
      </c>
      <c r="W27" s="515">
        <f>J27</f>
        <v>100</v>
      </c>
      <c r="X27" s="516"/>
      <c r="Y27" s="3835"/>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20"/>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35"/>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20"/>
      <c r="Q29" s="1158">
        <f t="shared" si="11"/>
        <v>111</v>
      </c>
      <c r="R29" s="518" t="s">
        <v>17</v>
      </c>
      <c r="S29" s="519">
        <f t="shared" si="12"/>
        <v>100</v>
      </c>
      <c r="T29" s="518" t="s">
        <v>17</v>
      </c>
      <c r="U29" s="519">
        <f t="shared" si="13"/>
        <v>100</v>
      </c>
      <c r="V29" s="518" t="s">
        <v>17</v>
      </c>
      <c r="W29" s="519">
        <f t="shared" si="14"/>
        <v>100</v>
      </c>
      <c r="X29" s="1161"/>
      <c r="Y29" s="3835"/>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20"/>
      <c r="Q30" s="1158">
        <f t="shared" si="11"/>
        <v>111</v>
      </c>
      <c r="R30" s="518" t="s">
        <v>17</v>
      </c>
      <c r="S30" s="519">
        <f t="shared" si="12"/>
        <v>100</v>
      </c>
      <c r="T30" s="518" t="s">
        <v>17</v>
      </c>
      <c r="U30" s="519">
        <f t="shared" si="13"/>
        <v>100</v>
      </c>
      <c r="V30" s="518" t="s">
        <v>17</v>
      </c>
      <c r="W30" s="519">
        <f t="shared" si="14"/>
        <v>100</v>
      </c>
      <c r="X30" s="1161"/>
      <c r="Y30" s="3835"/>
      <c r="Z30" s="1162">
        <f t="shared" si="15"/>
        <v>111</v>
      </c>
      <c r="AA30" s="1159">
        <f t="shared" si="3"/>
        <v>1</v>
      </c>
      <c r="AB30" s="1159">
        <f t="shared" si="4"/>
        <v>1</v>
      </c>
      <c r="AC30" s="1159">
        <f t="shared" si="5"/>
        <v>1</v>
      </c>
    </row>
    <row r="31" spans="1:29" ht="15.6"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20"/>
      <c r="Q31" s="1158">
        <f t="shared" si="11"/>
        <v>111</v>
      </c>
      <c r="R31" s="518" t="s">
        <v>17</v>
      </c>
      <c r="S31" s="519">
        <f t="shared" si="12"/>
        <v>100</v>
      </c>
      <c r="T31" s="518" t="s">
        <v>17</v>
      </c>
      <c r="U31" s="519">
        <f t="shared" si="13"/>
        <v>100</v>
      </c>
      <c r="V31" s="518" t="s">
        <v>17</v>
      </c>
      <c r="W31" s="519">
        <f t="shared" si="14"/>
        <v>100</v>
      </c>
      <c r="X31" s="1161"/>
      <c r="Y31" s="3835"/>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21" t="s">
        <v>2143</v>
      </c>
      <c r="Q32" s="1158" t="str">
        <f t="shared" si="11"/>
        <v>商业类型</v>
      </c>
      <c r="R32" s="518" t="s">
        <v>17</v>
      </c>
      <c r="S32" s="519">
        <f t="shared" si="12"/>
        <v>100</v>
      </c>
      <c r="T32" s="518" t="s">
        <v>17</v>
      </c>
      <c r="U32" s="519">
        <f t="shared" si="13"/>
        <v>100</v>
      </c>
      <c r="V32" s="518" t="s">
        <v>17</v>
      </c>
      <c r="W32" s="519">
        <f t="shared" si="14"/>
        <v>100</v>
      </c>
      <c r="X32" s="1161"/>
      <c r="Y32" s="3837"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22"/>
      <c r="Q33" s="520" t="str">
        <f t="shared" si="11"/>
        <v>项目建筑规模</v>
      </c>
      <c r="R33" s="521" t="s">
        <v>17</v>
      </c>
      <c r="S33" s="522" t="e">
        <f t="shared" si="12"/>
        <v>#N/A</v>
      </c>
      <c r="T33" s="521" t="s">
        <v>17</v>
      </c>
      <c r="U33" s="522" t="e">
        <f t="shared" si="13"/>
        <v>#N/A</v>
      </c>
      <c r="V33" s="521" t="s">
        <v>17</v>
      </c>
      <c r="W33" s="522" t="e">
        <f t="shared" si="14"/>
        <v>#N/A</v>
      </c>
      <c r="X33" s="523"/>
      <c r="Y33" s="3837"/>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22"/>
      <c r="Q34" s="1158" t="str">
        <f t="shared" si="11"/>
        <v>建筑结构</v>
      </c>
      <c r="R34" s="518" t="s">
        <v>17</v>
      </c>
      <c r="S34" s="519">
        <f t="shared" si="12"/>
        <v>100</v>
      </c>
      <c r="T34" s="518" t="s">
        <v>17</v>
      </c>
      <c r="U34" s="519">
        <f t="shared" si="13"/>
        <v>100</v>
      </c>
      <c r="V34" s="518" t="s">
        <v>17</v>
      </c>
      <c r="W34" s="519">
        <f t="shared" si="14"/>
        <v>100</v>
      </c>
      <c r="X34" s="1161"/>
      <c r="Y34" s="3837"/>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22"/>
      <c r="Q35" s="1158" t="str">
        <f t="shared" si="11"/>
        <v>公共部分装修</v>
      </c>
      <c r="R35" s="518" t="s">
        <v>17</v>
      </c>
      <c r="S35" s="519">
        <f t="shared" si="12"/>
        <v>100</v>
      </c>
      <c r="T35" s="518" t="s">
        <v>17</v>
      </c>
      <c r="U35" s="519">
        <f t="shared" si="13"/>
        <v>100</v>
      </c>
      <c r="V35" s="518" t="s">
        <v>17</v>
      </c>
      <c r="W35" s="519">
        <f t="shared" si="14"/>
        <v>100</v>
      </c>
      <c r="X35" s="1161"/>
      <c r="Y35" s="3837"/>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22"/>
      <c r="Q36" s="1158" t="str">
        <f t="shared" si="11"/>
        <v>成新度</v>
      </c>
      <c r="R36" s="518" t="s">
        <v>17</v>
      </c>
      <c r="S36" s="519" t="e">
        <f t="shared" si="12"/>
        <v>#N/A</v>
      </c>
      <c r="T36" s="518" t="s">
        <v>17</v>
      </c>
      <c r="U36" s="519" t="e">
        <f t="shared" si="13"/>
        <v>#N/A</v>
      </c>
      <c r="V36" s="518" t="s">
        <v>17</v>
      </c>
      <c r="W36" s="519" t="e">
        <f t="shared" si="14"/>
        <v>#N/A</v>
      </c>
      <c r="X36" s="1161"/>
      <c r="Y36" s="3837"/>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22"/>
      <c r="Q37" s="1150" t="str">
        <f t="shared" si="11"/>
        <v>市政基础设施</v>
      </c>
      <c r="R37" s="514" t="s">
        <v>17</v>
      </c>
      <c r="S37" s="515">
        <f t="shared" si="12"/>
        <v>100</v>
      </c>
      <c r="T37" s="514" t="s">
        <v>17</v>
      </c>
      <c r="U37" s="515">
        <f t="shared" si="13"/>
        <v>100</v>
      </c>
      <c r="V37" s="514" t="s">
        <v>17</v>
      </c>
      <c r="W37" s="515">
        <f t="shared" si="14"/>
        <v>100</v>
      </c>
      <c r="X37" s="516"/>
      <c r="Y37" s="3837"/>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22" t="s">
        <v>2143</v>
      </c>
      <c r="Q38" s="1158" t="str">
        <f t="shared" si="11"/>
        <v>业态</v>
      </c>
      <c r="R38" s="518" t="s">
        <v>17</v>
      </c>
      <c r="S38" s="519">
        <f t="shared" si="12"/>
        <v>100</v>
      </c>
      <c r="T38" s="518" t="s">
        <v>17</v>
      </c>
      <c r="U38" s="519">
        <f t="shared" si="13"/>
        <v>100</v>
      </c>
      <c r="V38" s="518" t="s">
        <v>17</v>
      </c>
      <c r="W38" s="519">
        <f t="shared" si="14"/>
        <v>100</v>
      </c>
      <c r="X38" s="1161"/>
      <c r="Y38" s="3837"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22"/>
      <c r="Q39" s="1158" t="str">
        <f t="shared" si="11"/>
        <v>层高</v>
      </c>
      <c r="R39" s="518" t="s">
        <v>17</v>
      </c>
      <c r="S39" s="519">
        <f t="shared" si="12"/>
        <v>100</v>
      </c>
      <c r="T39" s="518" t="s">
        <v>17</v>
      </c>
      <c r="U39" s="519">
        <f t="shared" si="13"/>
        <v>100</v>
      </c>
      <c r="V39" s="518" t="s">
        <v>17</v>
      </c>
      <c r="W39" s="519">
        <f t="shared" si="14"/>
        <v>100</v>
      </c>
      <c r="X39" s="1161"/>
      <c r="Y39" s="3837"/>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22"/>
      <c r="Q40" s="1158" t="str">
        <f t="shared" si="11"/>
        <v>单套建筑面积</v>
      </c>
      <c r="R40" s="518" t="s">
        <v>17</v>
      </c>
      <c r="S40" s="519">
        <f t="shared" si="12"/>
        <v>100</v>
      </c>
      <c r="T40" s="518" t="s">
        <v>17</v>
      </c>
      <c r="U40" s="519">
        <f t="shared" si="13"/>
        <v>100</v>
      </c>
      <c r="V40" s="518" t="s">
        <v>17</v>
      </c>
      <c r="W40" s="519">
        <f t="shared" si="14"/>
        <v>100</v>
      </c>
      <c r="X40" s="1161"/>
      <c r="Y40" s="3837"/>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22"/>
      <c r="Q41" s="520" t="str">
        <f t="shared" si="11"/>
        <v>进深比</v>
      </c>
      <c r="R41" s="521" t="s">
        <v>17</v>
      </c>
      <c r="S41" s="522">
        <f t="shared" si="12"/>
        <v>100</v>
      </c>
      <c r="T41" s="521" t="s">
        <v>17</v>
      </c>
      <c r="U41" s="522">
        <f t="shared" si="13"/>
        <v>100</v>
      </c>
      <c r="V41" s="521" t="s">
        <v>17</v>
      </c>
      <c r="W41" s="522">
        <f t="shared" si="14"/>
        <v>100</v>
      </c>
      <c r="X41" s="523"/>
      <c r="Y41" s="3837"/>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22"/>
      <c r="Q42" s="1158" t="str">
        <f t="shared" si="11"/>
        <v>内部装修</v>
      </c>
      <c r="R42" s="518" t="s">
        <v>17</v>
      </c>
      <c r="S42" s="519">
        <f t="shared" si="12"/>
        <v>100</v>
      </c>
      <c r="T42" s="518" t="s">
        <v>17</v>
      </c>
      <c r="U42" s="519">
        <f t="shared" si="13"/>
        <v>100</v>
      </c>
      <c r="V42" s="518" t="s">
        <v>17</v>
      </c>
      <c r="W42" s="519">
        <f t="shared" si="14"/>
        <v>100</v>
      </c>
      <c r="X42" s="1161"/>
      <c r="Y42" s="3837"/>
      <c r="Z42" s="1162" t="str">
        <f t="shared" si="15"/>
        <v>内部装修</v>
      </c>
      <c r="AA42" s="1159">
        <f t="shared" si="3"/>
        <v>1</v>
      </c>
      <c r="AB42" s="1159">
        <f t="shared" si="4"/>
        <v>1</v>
      </c>
      <c r="AC42" s="1159">
        <f t="shared" si="5"/>
        <v>1</v>
      </c>
    </row>
    <row r="43" spans="1:29" ht="28.8">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22"/>
      <c r="Q43" s="1158" t="str">
        <f t="shared" si="11"/>
        <v>内部装修维护情况</v>
      </c>
      <c r="R43" s="518" t="s">
        <v>17</v>
      </c>
      <c r="S43" s="519">
        <f t="shared" si="12"/>
        <v>100</v>
      </c>
      <c r="T43" s="518" t="s">
        <v>17</v>
      </c>
      <c r="U43" s="519">
        <f t="shared" si="13"/>
        <v>100</v>
      </c>
      <c r="V43" s="518" t="s">
        <v>17</v>
      </c>
      <c r="W43" s="519">
        <f t="shared" si="14"/>
        <v>100</v>
      </c>
      <c r="X43" s="1161"/>
      <c r="Y43" s="3837"/>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22"/>
      <c r="Q44" s="1150">
        <f t="shared" si="11"/>
        <v>111</v>
      </c>
      <c r="R44" s="514" t="s">
        <v>17</v>
      </c>
      <c r="S44" s="515">
        <f t="shared" si="12"/>
        <v>100</v>
      </c>
      <c r="T44" s="514" t="s">
        <v>17</v>
      </c>
      <c r="U44" s="515">
        <f t="shared" si="13"/>
        <v>100</v>
      </c>
      <c r="V44" s="514" t="s">
        <v>17</v>
      </c>
      <c r="W44" s="515">
        <f t="shared" si="14"/>
        <v>100</v>
      </c>
      <c r="X44" s="516"/>
      <c r="Y44" s="3837"/>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22"/>
      <c r="Q45" s="1158">
        <f t="shared" si="11"/>
        <v>111</v>
      </c>
      <c r="R45" s="518" t="s">
        <v>17</v>
      </c>
      <c r="S45" s="519">
        <f t="shared" si="12"/>
        <v>100</v>
      </c>
      <c r="T45" s="518" t="s">
        <v>17</v>
      </c>
      <c r="U45" s="519">
        <f t="shared" si="13"/>
        <v>100</v>
      </c>
      <c r="V45" s="518" t="s">
        <v>17</v>
      </c>
      <c r="W45" s="519">
        <f t="shared" si="14"/>
        <v>100</v>
      </c>
      <c r="X45" s="1161"/>
      <c r="Y45" s="3837"/>
      <c r="Z45" s="1162">
        <f t="shared" si="15"/>
        <v>111</v>
      </c>
      <c r="AA45" s="1159">
        <f t="shared" si="3"/>
        <v>1</v>
      </c>
      <c r="AB45" s="1159">
        <f t="shared" si="4"/>
        <v>1</v>
      </c>
      <c r="AC45" s="1159">
        <f t="shared" si="5"/>
        <v>1</v>
      </c>
    </row>
    <row r="46" spans="1:29" ht="15.6"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23"/>
      <c r="Q46" s="1158">
        <f t="shared" si="11"/>
        <v>111</v>
      </c>
      <c r="R46" s="518" t="s">
        <v>17</v>
      </c>
      <c r="S46" s="519">
        <f t="shared" si="12"/>
        <v>100</v>
      </c>
      <c r="T46" s="518" t="s">
        <v>17</v>
      </c>
      <c r="U46" s="519">
        <f t="shared" si="13"/>
        <v>100</v>
      </c>
      <c r="V46" s="518" t="s">
        <v>17</v>
      </c>
      <c r="W46" s="519">
        <f t="shared" si="14"/>
        <v>100</v>
      </c>
      <c r="X46" s="1161"/>
      <c r="Y46" s="3924"/>
      <c r="Z46" s="1162">
        <f t="shared" si="15"/>
        <v>111</v>
      </c>
      <c r="AA46" s="1159">
        <f t="shared" si="3"/>
        <v>1</v>
      </c>
      <c r="AB46" s="1159">
        <f t="shared" si="4"/>
        <v>1</v>
      </c>
      <c r="AC46" s="1159">
        <f t="shared" si="5"/>
        <v>1</v>
      </c>
    </row>
    <row r="47" spans="1:29" ht="14.4">
      <c r="A47" s="288" t="s">
        <v>2155</v>
      </c>
      <c r="B47" s="289"/>
      <c r="C47" s="965" t="s">
        <v>1</v>
      </c>
      <c r="D47" s="966"/>
      <c r="E47" s="967"/>
      <c r="F47" s="968"/>
      <c r="G47" s="969"/>
      <c r="H47" s="970"/>
      <c r="I47" s="967"/>
      <c r="J47" s="970"/>
      <c r="K47" s="527"/>
      <c r="L47" s="2110"/>
      <c r="M47" s="2111"/>
      <c r="N47" s="2102"/>
      <c r="O47" s="2111"/>
      <c r="P47" s="3818" t="str">
        <f>A47</f>
        <v>成交单价（元/平方米）</v>
      </c>
      <c r="Q47" s="3818"/>
      <c r="R47" s="3832">
        <f>E47</f>
        <v>0</v>
      </c>
      <c r="S47" s="3832"/>
      <c r="T47" s="3832">
        <f>G47</f>
        <v>0</v>
      </c>
      <c r="U47" s="3832"/>
      <c r="V47" s="3832">
        <f>I47</f>
        <v>0</v>
      </c>
      <c r="W47" s="3832"/>
      <c r="X47" s="503"/>
      <c r="Y47" s="525"/>
      <c r="Z47" s="503"/>
      <c r="AA47" s="503"/>
      <c r="AB47" s="503"/>
      <c r="AC47" s="503"/>
    </row>
    <row r="48" spans="1:29" ht="1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18" t="str">
        <f>A48</f>
        <v>比较价值（元/平方米）</v>
      </c>
      <c r="Q48" s="3818"/>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503"/>
      <c r="Y48" s="503"/>
      <c r="Z48" s="503"/>
      <c r="AA48" s="503"/>
      <c r="AB48" s="503"/>
      <c r="AC48" s="503"/>
    </row>
    <row r="49" spans="1:29" ht="15" thickBot="1">
      <c r="A49" s="299" t="s">
        <v>2248</v>
      </c>
      <c r="B49" s="300"/>
      <c r="C49" s="973" t="e">
        <f>R49</f>
        <v>#DIV/0!</v>
      </c>
      <c r="D49" s="973"/>
      <c r="E49" s="973"/>
      <c r="F49" s="973"/>
      <c r="G49" s="973"/>
      <c r="H49" s="973"/>
      <c r="I49" s="973"/>
      <c r="J49" s="973"/>
      <c r="K49" s="528"/>
      <c r="L49" s="2110"/>
      <c r="M49" s="2111"/>
      <c r="N49" s="2102"/>
      <c r="O49" s="2111"/>
      <c r="P49" s="3840" t="str">
        <f>A49</f>
        <v>估价对象XX用房的比较价值（楼面单价，元/平方米）</v>
      </c>
      <c r="Q49" s="3841"/>
      <c r="R49" s="3926" t="e">
        <f>IF(F1="售价",ROUND(IF(D48="简单平均",AVERAGE(R48:V48),R48*F48+T48*H48+V48*J48),0),ROUND(IF(D48="简单平均",AVERAGE(R48:V48),R48*F48+T48*H48+V48*J48),1))</f>
        <v>#DIV/0!</v>
      </c>
      <c r="S49" s="3926"/>
      <c r="T49" s="3926"/>
      <c r="U49" s="3926"/>
      <c r="V49" s="3926"/>
      <c r="W49" s="3926"/>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2.2"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4.4">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4.4">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4.4"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ht="14.4">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4.4"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9.4"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4.4"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4.4"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4.4"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4.4"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4.4"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4.4"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4.4"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4.4"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ht="14.4">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4.4"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4.4"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4.4"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4.4"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4.4"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4.4"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4.4"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4.4"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4.4"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4.4"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4.4"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4.4"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4.4"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4.4"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4.4"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4.4"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4.4"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4.4"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ht="14.4">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4.4"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4.4"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4.4"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4.4"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4.4"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4.4"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4.4"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4.4"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4.4"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4.4"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4.4"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29.4"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4.4"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4.4"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4.4"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4.4"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4.4"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4.4"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4.4"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283" customWidth="1"/>
    <col min="2" max="16384" width="9" style="1283"/>
  </cols>
  <sheetData>
    <row r="1" spans="1:1" ht="22.8">
      <c r="A1" s="1282" t="s">
        <v>1335</v>
      </c>
    </row>
    <row r="2" spans="1:1">
      <c r="A2" s="1284"/>
    </row>
    <row r="3" spans="1:1" ht="17.399999999999999">
      <c r="A3" s="1285" t="str">
        <f>项目基本情况!B5&amp;"："</f>
        <v>建设银行总行北京分行城建支行：</v>
      </c>
    </row>
    <row r="4" spans="1:1" ht="52.2">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7.399999999999999">
      <c r="A5" s="1287" t="s">
        <v>1336</v>
      </c>
    </row>
    <row r="6" spans="1:1" ht="17.399999999999999">
      <c r="A6" s="1288" t="s">
        <v>1337</v>
      </c>
    </row>
    <row r="7" spans="1:1" ht="69.599999999999994">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1" ht="54.6">
      <c r="A8" s="1289" t="s">
        <v>1338</v>
      </c>
    </row>
    <row r="9" spans="1:1" ht="17.399999999999999">
      <c r="A9" s="1288" t="s">
        <v>1339</v>
      </c>
    </row>
    <row r="10" spans="1:1" ht="69.599999999999994">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1" spans="1:1" ht="72">
      <c r="A11" s="1289" t="s">
        <v>1340</v>
      </c>
    </row>
    <row r="12" spans="1:1" ht="17.399999999999999">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7.399999999999999">
      <c r="A14" s="1291" t="s">
        <v>1342</v>
      </c>
    </row>
    <row r="15" spans="1:1" ht="17.399999999999999">
      <c r="A15" s="1292" t="str">
        <f>TEXT(项目基本情况!D3,"yyyy年m月d日;;")&amp;IF(项目基本情况!D3=项目基本情况!B3,"（评估专业人员实地查勘之日）","")</f>
        <v>2022年8月2日（评估专业人员实地查勘之日）</v>
      </c>
    </row>
    <row r="16" spans="1:1" ht="17.399999999999999">
      <c r="A16" s="1291" t="s">
        <v>1343</v>
      </c>
    </row>
    <row r="17" spans="1:1" ht="69.599999999999994">
      <c r="A17" s="1286" t="s">
        <v>1344</v>
      </c>
    </row>
    <row r="18" spans="1:1" ht="69.59999999999999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286" t="str">
        <f>IF(项目基本情况!B9="房地产市场价值","——",IF(项目基本情况!E9="——","",定义!C57))</f>
        <v/>
      </c>
    </row>
    <row r="23" spans="1:1" ht="17.399999999999999">
      <c r="A23" s="1291" t="s">
        <v>1333</v>
      </c>
    </row>
    <row r="24" spans="1:1" ht="17.399999999999999">
      <c r="A24" s="1293" t="str">
        <f>"本次评估采用的主估价方法为"&amp;结果表!K4&amp;"和"&amp;结果表!L4&amp;"。"</f>
        <v>本次评估采用的主估价方法为成本法和假设开发法。</v>
      </c>
    </row>
    <row r="25" spans="1:1" ht="17.399999999999999">
      <c r="A25" s="1293"/>
    </row>
    <row r="26" spans="1:1" ht="17.399999999999999">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219" customWidth="1"/>
    <col min="2" max="2" width="15.77734375" style="219" customWidth="1"/>
    <col min="3" max="3" width="15.66406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758"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122002.77</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4.4">
      <c r="A4" s="217" t="s">
        <v>2223</v>
      </c>
      <c r="B4" s="218"/>
      <c r="C4" s="3915" t="s">
        <v>2224</v>
      </c>
      <c r="D4" s="3916"/>
      <c r="E4" s="3917" t="s">
        <v>2225</v>
      </c>
      <c r="F4" s="3918"/>
      <c r="G4" s="3915" t="s">
        <v>2226</v>
      </c>
      <c r="H4" s="3916"/>
      <c r="I4" s="3915" t="s">
        <v>2227</v>
      </c>
      <c r="J4" s="3916"/>
      <c r="K4" s="414" t="s">
        <v>2228</v>
      </c>
      <c r="L4" s="2101"/>
      <c r="M4" s="2102"/>
      <c r="N4" s="2102"/>
      <c r="O4" s="2102"/>
      <c r="P4" s="3933" t="s">
        <v>2229</v>
      </c>
      <c r="Q4" s="3934"/>
      <c r="R4" s="3928" t="s">
        <v>2225</v>
      </c>
      <c r="S4" s="3929"/>
      <c r="T4" s="3928" t="s">
        <v>2226</v>
      </c>
      <c r="U4" s="3929"/>
      <c r="V4" s="3937" t="s">
        <v>2227</v>
      </c>
      <c r="W4" s="3937"/>
      <c r="X4" s="1504"/>
      <c r="Y4" s="3928" t="s">
        <v>2229</v>
      </c>
      <c r="Z4" s="3929"/>
      <c r="AA4" s="3927" t="s">
        <v>2225</v>
      </c>
      <c r="AB4" s="3927" t="s">
        <v>2226</v>
      </c>
      <c r="AC4" s="3930" t="s">
        <v>2227</v>
      </c>
    </row>
    <row r="5" spans="1:29">
      <c r="A5" s="220"/>
      <c r="B5" s="221"/>
      <c r="C5" s="3908" t="s">
        <v>2120</v>
      </c>
      <c r="D5" s="3909"/>
      <c r="E5" s="3906" t="s">
        <v>2121</v>
      </c>
      <c r="F5" s="3907"/>
      <c r="G5" s="3908" t="s">
        <v>2122</v>
      </c>
      <c r="H5" s="3909"/>
      <c r="I5" s="3908" t="s">
        <v>2123</v>
      </c>
      <c r="J5" s="3909"/>
      <c r="K5" s="414"/>
      <c r="L5" s="2101"/>
      <c r="M5" s="2102"/>
      <c r="N5" s="2102"/>
      <c r="O5" s="2102"/>
      <c r="P5" s="3935"/>
      <c r="Q5" s="3827"/>
      <c r="R5" s="3808"/>
      <c r="S5" s="3809"/>
      <c r="T5" s="3808"/>
      <c r="U5" s="3809"/>
      <c r="V5" s="3832"/>
      <c r="W5" s="3832"/>
      <c r="X5" s="1161"/>
      <c r="Y5" s="3808"/>
      <c r="Z5" s="3809"/>
      <c r="AA5" s="3802"/>
      <c r="AB5" s="3802"/>
      <c r="AC5" s="3931"/>
    </row>
    <row r="6" spans="1:29" ht="15" thickBot="1">
      <c r="A6" s="222"/>
      <c r="B6" s="223"/>
      <c r="C6" s="3910" t="s">
        <v>2124</v>
      </c>
      <c r="D6" s="3911"/>
      <c r="E6" s="3912" t="s">
        <v>2124</v>
      </c>
      <c r="F6" s="3913"/>
      <c r="G6" s="3910" t="s">
        <v>2124</v>
      </c>
      <c r="H6" s="3911"/>
      <c r="I6" s="3910" t="s">
        <v>2124</v>
      </c>
      <c r="J6" s="3911"/>
      <c r="K6" s="414" t="s">
        <v>2125</v>
      </c>
      <c r="L6" s="2101"/>
      <c r="M6" s="2102"/>
      <c r="N6" s="2102"/>
      <c r="O6" s="2102"/>
      <c r="P6" s="3936"/>
      <c r="Q6" s="3829"/>
      <c r="R6" s="3808"/>
      <c r="S6" s="3809"/>
      <c r="T6" s="3830"/>
      <c r="U6" s="3831"/>
      <c r="V6" s="3832"/>
      <c r="W6" s="3832"/>
      <c r="X6" s="1161"/>
      <c r="Y6" s="3830"/>
      <c r="Z6" s="3831"/>
      <c r="AA6" s="3803"/>
      <c r="AB6" s="3803"/>
      <c r="AC6" s="3932"/>
    </row>
    <row r="7" spans="1:29" s="50" customFormat="1" ht="1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38" t="s">
        <v>2127</v>
      </c>
      <c r="Q7" s="3833"/>
      <c r="R7" s="514" t="s">
        <v>17</v>
      </c>
      <c r="S7" s="515">
        <f t="shared" ref="S7:S15" si="0">F7</f>
        <v>0</v>
      </c>
      <c r="T7" s="514" t="s">
        <v>17</v>
      </c>
      <c r="U7" s="515">
        <f t="shared" ref="U7:U15" si="1">H7</f>
        <v>0</v>
      </c>
      <c r="V7" s="514" t="s">
        <v>17</v>
      </c>
      <c r="W7" s="515">
        <f t="shared" ref="W7:W15" si="2">J7</f>
        <v>0</v>
      </c>
      <c r="X7" s="516"/>
      <c r="Y7" s="3804" t="s">
        <v>2127</v>
      </c>
      <c r="Z7" s="3805"/>
      <c r="AA7" s="517" t="e">
        <f>D7/F7</f>
        <v>#DIV/0!</v>
      </c>
      <c r="AB7" s="517" t="e">
        <f>D7/H7</f>
        <v>#DIV/0!</v>
      </c>
      <c r="AC7" s="1505" t="e">
        <f>D7/J7</f>
        <v>#DIV/0!</v>
      </c>
    </row>
    <row r="8" spans="1:29" s="50" customFormat="1" ht="1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38" t="s">
        <v>2130</v>
      </c>
      <c r="Q8" s="3805"/>
      <c r="R8" s="514" t="s">
        <v>17</v>
      </c>
      <c r="S8" s="515">
        <f t="shared" si="0"/>
        <v>0</v>
      </c>
      <c r="T8" s="514" t="s">
        <v>17</v>
      </c>
      <c r="U8" s="515">
        <f t="shared" si="1"/>
        <v>0</v>
      </c>
      <c r="V8" s="514" t="s">
        <v>17</v>
      </c>
      <c r="W8" s="515">
        <f t="shared" si="2"/>
        <v>0</v>
      </c>
      <c r="X8" s="516"/>
      <c r="Y8" s="3804" t="s">
        <v>2130</v>
      </c>
      <c r="Z8" s="3805"/>
      <c r="AA8" s="517" t="e">
        <f t="shared" ref="AA8:AA47" si="3">D8/F8</f>
        <v>#DIV/0!</v>
      </c>
      <c r="AB8" s="517" t="e">
        <f t="shared" ref="AB8:AB47" si="4">D8/H8</f>
        <v>#DIV/0!</v>
      </c>
      <c r="AC8" s="1505" t="e">
        <f t="shared" ref="AC8:AC47" si="5">D8/J8</f>
        <v>#DIV/0!</v>
      </c>
    </row>
    <row r="9" spans="1:29" s="50" customFormat="1" ht="14.4">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4" t="s">
        <v>2133</v>
      </c>
      <c r="Q9" s="1150" t="str">
        <f t="shared" ref="Q9:Q15" si="6">B9</f>
        <v>用途</v>
      </c>
      <c r="R9" s="514" t="s">
        <v>17</v>
      </c>
      <c r="S9" s="515">
        <f t="shared" si="0"/>
        <v>100</v>
      </c>
      <c r="T9" s="514" t="s">
        <v>17</v>
      </c>
      <c r="U9" s="515">
        <f t="shared" si="1"/>
        <v>100</v>
      </c>
      <c r="V9" s="514" t="s">
        <v>17</v>
      </c>
      <c r="W9" s="515">
        <f t="shared" si="2"/>
        <v>100</v>
      </c>
      <c r="X9" s="516"/>
      <c r="Y9" s="3819" t="s">
        <v>2134</v>
      </c>
      <c r="Z9" s="46" t="str">
        <f t="shared" ref="Z9:Z15" si="7">Q9</f>
        <v>用途</v>
      </c>
      <c r="AA9" s="517">
        <f t="shared" si="3"/>
        <v>1</v>
      </c>
      <c r="AB9" s="517">
        <f t="shared" si="4"/>
        <v>1</v>
      </c>
      <c r="AC9" s="1505">
        <f t="shared" si="5"/>
        <v>1</v>
      </c>
    </row>
    <row r="10" spans="1:29" s="241" customFormat="1" ht="28.8">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4"/>
      <c r="Q10" s="1150" t="str">
        <f t="shared" si="6"/>
        <v>土地使用年限（年）</v>
      </c>
      <c r="R10" s="514" t="s">
        <v>17</v>
      </c>
      <c r="S10" s="515">
        <f t="shared" si="0"/>
        <v>100</v>
      </c>
      <c r="T10" s="514" t="s">
        <v>17</v>
      </c>
      <c r="U10" s="515">
        <f t="shared" si="1"/>
        <v>100</v>
      </c>
      <c r="V10" s="514" t="s">
        <v>17</v>
      </c>
      <c r="W10" s="515">
        <f t="shared" si="2"/>
        <v>100</v>
      </c>
      <c r="X10" s="516"/>
      <c r="Y10" s="3819"/>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4"/>
      <c r="Q11" s="1150" t="str">
        <f t="shared" si="6"/>
        <v>容积率</v>
      </c>
      <c r="R11" s="514" t="s">
        <v>17</v>
      </c>
      <c r="S11" s="515" t="e">
        <f t="shared" si="0"/>
        <v>#N/A</v>
      </c>
      <c r="T11" s="514" t="s">
        <v>17</v>
      </c>
      <c r="U11" s="515" t="e">
        <f t="shared" si="1"/>
        <v>#N/A</v>
      </c>
      <c r="V11" s="514" t="s">
        <v>17</v>
      </c>
      <c r="W11" s="515" t="e">
        <f t="shared" si="2"/>
        <v>#N/A</v>
      </c>
      <c r="X11" s="516"/>
      <c r="Y11" s="3819"/>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4"/>
      <c r="Q12" s="1150">
        <f t="shared" si="6"/>
        <v>111</v>
      </c>
      <c r="R12" s="514" t="s">
        <v>17</v>
      </c>
      <c r="S12" s="515">
        <f t="shared" si="0"/>
        <v>100</v>
      </c>
      <c r="T12" s="514" t="s">
        <v>17</v>
      </c>
      <c r="U12" s="515">
        <f t="shared" si="1"/>
        <v>100</v>
      </c>
      <c r="V12" s="514" t="s">
        <v>17</v>
      </c>
      <c r="W12" s="515">
        <f t="shared" si="2"/>
        <v>100</v>
      </c>
      <c r="X12" s="516"/>
      <c r="Y12" s="3819"/>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4"/>
      <c r="Q13" s="1150">
        <f t="shared" si="6"/>
        <v>111</v>
      </c>
      <c r="R13" s="514" t="s">
        <v>17</v>
      </c>
      <c r="S13" s="515">
        <f t="shared" si="0"/>
        <v>100</v>
      </c>
      <c r="T13" s="514" t="s">
        <v>17</v>
      </c>
      <c r="U13" s="515">
        <f t="shared" si="1"/>
        <v>100</v>
      </c>
      <c r="V13" s="514" t="s">
        <v>17</v>
      </c>
      <c r="W13" s="515">
        <f t="shared" si="2"/>
        <v>100</v>
      </c>
      <c r="X13" s="516"/>
      <c r="Y13" s="3819"/>
      <c r="Z13" s="46">
        <f t="shared" si="7"/>
        <v>111</v>
      </c>
      <c r="AA13" s="517">
        <f t="shared" si="3"/>
        <v>1</v>
      </c>
      <c r="AB13" s="517">
        <f t="shared" si="4"/>
        <v>1</v>
      </c>
      <c r="AC13" s="1505">
        <f t="shared" si="5"/>
        <v>1</v>
      </c>
    </row>
    <row r="14" spans="1:29" ht="15.6"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4"/>
      <c r="Q14" s="1150">
        <f t="shared" si="6"/>
        <v>111</v>
      </c>
      <c r="R14" s="514" t="s">
        <v>17</v>
      </c>
      <c r="S14" s="515">
        <f t="shared" si="0"/>
        <v>100</v>
      </c>
      <c r="T14" s="514" t="s">
        <v>17</v>
      </c>
      <c r="U14" s="515">
        <f t="shared" si="1"/>
        <v>100</v>
      </c>
      <c r="V14" s="514" t="s">
        <v>17</v>
      </c>
      <c r="W14" s="515">
        <f t="shared" si="2"/>
        <v>100</v>
      </c>
      <c r="X14" s="516"/>
      <c r="Y14" s="3819"/>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19" t="s">
        <v>2138</v>
      </c>
      <c r="Q15" s="1158" t="str">
        <f t="shared" si="6"/>
        <v>办公集聚程度</v>
      </c>
      <c r="R15" s="518" t="s">
        <v>17</v>
      </c>
      <c r="S15" s="519">
        <f t="shared" si="0"/>
        <v>100</v>
      </c>
      <c r="T15" s="518" t="s">
        <v>17</v>
      </c>
      <c r="U15" s="519">
        <f t="shared" si="1"/>
        <v>100</v>
      </c>
      <c r="V15" s="518" t="s">
        <v>17</v>
      </c>
      <c r="W15" s="519">
        <f t="shared" si="2"/>
        <v>100</v>
      </c>
      <c r="X15" s="1161"/>
      <c r="Y15" s="3834"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20"/>
      <c r="Q16" s="1158"/>
      <c r="R16" s="518"/>
      <c r="S16" s="519"/>
      <c r="T16" s="518"/>
      <c r="U16" s="519"/>
      <c r="V16" s="518"/>
      <c r="W16" s="519"/>
      <c r="X16" s="1161"/>
      <c r="Y16" s="3835"/>
      <c r="Z16" s="1162"/>
      <c r="AA16" s="1159">
        <v>1</v>
      </c>
      <c r="AB16" s="1159">
        <v>1</v>
      </c>
      <c r="AC16" s="1508">
        <v>1</v>
      </c>
    </row>
    <row r="17" spans="1:29" ht="151.80000000000001">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20"/>
      <c r="Q17" s="1158" t="str">
        <f>B17</f>
        <v>交通便捷度</v>
      </c>
      <c r="R17" s="518" t="s">
        <v>17</v>
      </c>
      <c r="S17" s="519">
        <f>F17</f>
        <v>100</v>
      </c>
      <c r="T17" s="518" t="s">
        <v>17</v>
      </c>
      <c r="U17" s="519">
        <f>H17</f>
        <v>100</v>
      </c>
      <c r="V17" s="518" t="s">
        <v>17</v>
      </c>
      <c r="W17" s="519">
        <f>J17</f>
        <v>100</v>
      </c>
      <c r="X17" s="1161"/>
      <c r="Y17" s="3835"/>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20"/>
      <c r="Q18" s="1158"/>
      <c r="R18" s="518"/>
      <c r="S18" s="519"/>
      <c r="T18" s="518"/>
      <c r="U18" s="519"/>
      <c r="V18" s="518"/>
      <c r="W18" s="519"/>
      <c r="X18" s="1161"/>
      <c r="Y18" s="3835"/>
      <c r="Z18" s="1162"/>
      <c r="AA18" s="1159">
        <v>1</v>
      </c>
      <c r="AB18" s="1159">
        <v>1</v>
      </c>
      <c r="AC18" s="1508">
        <v>1</v>
      </c>
    </row>
    <row r="19" spans="1:29" ht="276">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20"/>
      <c r="Q19" s="1158" t="str">
        <f>B19</f>
        <v>公共配套设施</v>
      </c>
      <c r="R19" s="518" t="s">
        <v>17</v>
      </c>
      <c r="S19" s="519">
        <f>F19</f>
        <v>100</v>
      </c>
      <c r="T19" s="518" t="s">
        <v>17</v>
      </c>
      <c r="U19" s="519">
        <f>H19</f>
        <v>100</v>
      </c>
      <c r="V19" s="518" t="s">
        <v>17</v>
      </c>
      <c r="W19" s="519">
        <f>J19</f>
        <v>100</v>
      </c>
      <c r="X19" s="1161"/>
      <c r="Y19" s="3835"/>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20"/>
      <c r="Q20" s="1158"/>
      <c r="R20" s="518"/>
      <c r="S20" s="519"/>
      <c r="T20" s="518"/>
      <c r="U20" s="519"/>
      <c r="V20" s="518"/>
      <c r="W20" s="519"/>
      <c r="X20" s="1161"/>
      <c r="Y20" s="3835"/>
      <c r="Z20" s="1162"/>
      <c r="AA20" s="1159">
        <v>1</v>
      </c>
      <c r="AB20" s="1159">
        <v>1</v>
      </c>
      <c r="AC20" s="1508">
        <v>1</v>
      </c>
    </row>
    <row r="21" spans="1:29" ht="27.6">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20"/>
      <c r="Q21" s="1158" t="str">
        <f>B21</f>
        <v>基础设施水平</v>
      </c>
      <c r="R21" s="518" t="s">
        <v>17</v>
      </c>
      <c r="S21" s="519">
        <f>F21</f>
        <v>100</v>
      </c>
      <c r="T21" s="518" t="s">
        <v>17</v>
      </c>
      <c r="U21" s="519">
        <f>H21</f>
        <v>100</v>
      </c>
      <c r="V21" s="518" t="s">
        <v>17</v>
      </c>
      <c r="W21" s="519">
        <f>J21</f>
        <v>100</v>
      </c>
      <c r="X21" s="1161"/>
      <c r="Y21" s="3835"/>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20"/>
      <c r="Q22" s="1158"/>
      <c r="R22" s="518"/>
      <c r="S22" s="519"/>
      <c r="T22" s="518"/>
      <c r="U22" s="519"/>
      <c r="V22" s="518"/>
      <c r="W22" s="519"/>
      <c r="X22" s="1161"/>
      <c r="Y22" s="3835"/>
      <c r="Z22" s="1162"/>
      <c r="AA22" s="1159">
        <v>1</v>
      </c>
      <c r="AB22" s="1159">
        <v>1</v>
      </c>
      <c r="AC22" s="1508">
        <v>1</v>
      </c>
    </row>
    <row r="23" spans="1:29" ht="110.4">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20"/>
      <c r="Q23" s="1158" t="str">
        <f>B23</f>
        <v>环境质量</v>
      </c>
      <c r="R23" s="518" t="s">
        <v>17</v>
      </c>
      <c r="S23" s="519">
        <f>F23</f>
        <v>100</v>
      </c>
      <c r="T23" s="518" t="s">
        <v>17</v>
      </c>
      <c r="U23" s="519">
        <f>H23</f>
        <v>100</v>
      </c>
      <c r="V23" s="518" t="s">
        <v>17</v>
      </c>
      <c r="W23" s="519">
        <f>J23</f>
        <v>100</v>
      </c>
      <c r="X23" s="1161"/>
      <c r="Y23" s="3835"/>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20"/>
      <c r="Q24" s="1158"/>
      <c r="R24" s="518"/>
      <c r="S24" s="519"/>
      <c r="T24" s="518"/>
      <c r="U24" s="519"/>
      <c r="V24" s="518"/>
      <c r="W24" s="519"/>
      <c r="X24" s="1161"/>
      <c r="Y24" s="3835"/>
      <c r="Z24" s="1162"/>
      <c r="AA24" s="1159">
        <v>1</v>
      </c>
      <c r="AB24" s="1159">
        <v>1</v>
      </c>
      <c r="AC24" s="1508">
        <v>1</v>
      </c>
    </row>
    <row r="25" spans="1:29" ht="28.8">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20"/>
      <c r="Q25" s="1158" t="str">
        <f>B25</f>
        <v>毗邻道路的类型与等级</v>
      </c>
      <c r="R25" s="518" t="s">
        <v>17</v>
      </c>
      <c r="S25" s="519">
        <f>F25</f>
        <v>100</v>
      </c>
      <c r="T25" s="518" t="s">
        <v>17</v>
      </c>
      <c r="U25" s="519">
        <f>H25</f>
        <v>100</v>
      </c>
      <c r="V25" s="518" t="s">
        <v>17</v>
      </c>
      <c r="W25" s="519">
        <f>J25</f>
        <v>100</v>
      </c>
      <c r="X25" s="1161"/>
      <c r="Y25" s="3835"/>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20"/>
      <c r="Q26" s="1158"/>
      <c r="R26" s="518"/>
      <c r="S26" s="519"/>
      <c r="T26" s="518"/>
      <c r="U26" s="519"/>
      <c r="V26" s="518"/>
      <c r="W26" s="519"/>
      <c r="X26" s="1161"/>
      <c r="Y26" s="3835"/>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20"/>
      <c r="Q27" s="1158" t="str">
        <f t="shared" ref="Q27:Q47" si="11">B27</f>
        <v>楼层</v>
      </c>
      <c r="R27" s="518" t="s">
        <v>17</v>
      </c>
      <c r="S27" s="519">
        <f>F27</f>
        <v>100</v>
      </c>
      <c r="T27" s="518" t="s">
        <v>17</v>
      </c>
      <c r="U27" s="519">
        <f>H27</f>
        <v>100</v>
      </c>
      <c r="V27" s="518" t="s">
        <v>17</v>
      </c>
      <c r="W27" s="519">
        <f>J27</f>
        <v>100</v>
      </c>
      <c r="X27" s="1161"/>
      <c r="Y27" s="3835"/>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20"/>
      <c r="Q28" s="1150" t="str">
        <f t="shared" si="11"/>
        <v>朝向</v>
      </c>
      <c r="R28" s="514" t="s">
        <v>17</v>
      </c>
      <c r="S28" s="515">
        <f>F28</f>
        <v>100</v>
      </c>
      <c r="T28" s="514" t="s">
        <v>17</v>
      </c>
      <c r="U28" s="515">
        <f>H28</f>
        <v>100</v>
      </c>
      <c r="V28" s="514" t="s">
        <v>17</v>
      </c>
      <c r="W28" s="515">
        <f>J28</f>
        <v>100</v>
      </c>
      <c r="X28" s="516"/>
      <c r="Y28" s="3835"/>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20"/>
      <c r="Q29" s="1158">
        <f t="shared" si="11"/>
        <v>111</v>
      </c>
      <c r="R29" s="518" t="s">
        <v>17</v>
      </c>
      <c r="S29" s="519">
        <f t="shared" ref="S29:S47" si="12">F29</f>
        <v>100</v>
      </c>
      <c r="T29" s="518" t="s">
        <v>17</v>
      </c>
      <c r="U29" s="519">
        <f t="shared" ref="U29:U47" si="13">H29</f>
        <v>100</v>
      </c>
      <c r="V29" s="518" t="s">
        <v>17</v>
      </c>
      <c r="W29" s="519">
        <f t="shared" ref="W29:W47" si="14">J29</f>
        <v>100</v>
      </c>
      <c r="X29" s="1161"/>
      <c r="Y29" s="3835"/>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20"/>
      <c r="Q30" s="1158">
        <f t="shared" si="11"/>
        <v>111</v>
      </c>
      <c r="R30" s="518" t="s">
        <v>17</v>
      </c>
      <c r="S30" s="519">
        <f t="shared" si="12"/>
        <v>100</v>
      </c>
      <c r="T30" s="518" t="s">
        <v>17</v>
      </c>
      <c r="U30" s="519">
        <f t="shared" si="13"/>
        <v>100</v>
      </c>
      <c r="V30" s="518" t="s">
        <v>17</v>
      </c>
      <c r="W30" s="519">
        <f t="shared" si="14"/>
        <v>100</v>
      </c>
      <c r="X30" s="1161"/>
      <c r="Y30" s="3835"/>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20"/>
      <c r="Q31" s="1158">
        <f t="shared" si="11"/>
        <v>111</v>
      </c>
      <c r="R31" s="518" t="s">
        <v>17</v>
      </c>
      <c r="S31" s="519">
        <f t="shared" si="12"/>
        <v>100</v>
      </c>
      <c r="T31" s="518" t="s">
        <v>17</v>
      </c>
      <c r="U31" s="519">
        <f t="shared" si="13"/>
        <v>100</v>
      </c>
      <c r="V31" s="518" t="s">
        <v>17</v>
      </c>
      <c r="W31" s="519">
        <f t="shared" si="14"/>
        <v>100</v>
      </c>
      <c r="X31" s="1161"/>
      <c r="Y31" s="3835"/>
      <c r="Z31" s="1162">
        <f t="shared" si="15"/>
        <v>111</v>
      </c>
      <c r="AA31" s="1159">
        <f t="shared" si="3"/>
        <v>1</v>
      </c>
      <c r="AB31" s="1159">
        <f t="shared" si="4"/>
        <v>1</v>
      </c>
      <c r="AC31" s="1508">
        <f t="shared" si="5"/>
        <v>1</v>
      </c>
    </row>
    <row r="32" spans="1:29" ht="15.6"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20"/>
      <c r="Q32" s="1158">
        <f t="shared" si="11"/>
        <v>111</v>
      </c>
      <c r="R32" s="518" t="s">
        <v>17</v>
      </c>
      <c r="S32" s="519">
        <f t="shared" si="12"/>
        <v>100</v>
      </c>
      <c r="T32" s="518" t="s">
        <v>17</v>
      </c>
      <c r="U32" s="519">
        <f t="shared" si="13"/>
        <v>100</v>
      </c>
      <c r="V32" s="518" t="s">
        <v>17</v>
      </c>
      <c r="W32" s="519">
        <f t="shared" si="14"/>
        <v>100</v>
      </c>
      <c r="X32" s="1161"/>
      <c r="Y32" s="3835"/>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21" t="s">
        <v>2143</v>
      </c>
      <c r="Q33" s="1158" t="str">
        <f t="shared" si="11"/>
        <v>建筑类型</v>
      </c>
      <c r="R33" s="518" t="s">
        <v>17</v>
      </c>
      <c r="S33" s="519">
        <f t="shared" si="12"/>
        <v>100</v>
      </c>
      <c r="T33" s="518" t="s">
        <v>17</v>
      </c>
      <c r="U33" s="519">
        <f t="shared" si="13"/>
        <v>100</v>
      </c>
      <c r="V33" s="518" t="s">
        <v>17</v>
      </c>
      <c r="W33" s="519">
        <f t="shared" si="14"/>
        <v>100</v>
      </c>
      <c r="X33" s="1161"/>
      <c r="Y33" s="3837"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22"/>
      <c r="Q34" s="520" t="str">
        <f t="shared" si="11"/>
        <v>项目建筑规模</v>
      </c>
      <c r="R34" s="521" t="s">
        <v>17</v>
      </c>
      <c r="S34" s="522" t="e">
        <f t="shared" si="12"/>
        <v>#N/A</v>
      </c>
      <c r="T34" s="521" t="s">
        <v>17</v>
      </c>
      <c r="U34" s="522" t="e">
        <f t="shared" si="13"/>
        <v>#N/A</v>
      </c>
      <c r="V34" s="521" t="s">
        <v>17</v>
      </c>
      <c r="W34" s="522" t="e">
        <f t="shared" si="14"/>
        <v>#N/A</v>
      </c>
      <c r="X34" s="523"/>
      <c r="Y34" s="3837"/>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22"/>
      <c r="Q35" s="1158" t="str">
        <f t="shared" si="11"/>
        <v>建筑结构</v>
      </c>
      <c r="R35" s="518" t="s">
        <v>17</v>
      </c>
      <c r="S35" s="519">
        <f t="shared" si="12"/>
        <v>100</v>
      </c>
      <c r="T35" s="518" t="s">
        <v>17</v>
      </c>
      <c r="U35" s="519">
        <f t="shared" si="13"/>
        <v>100</v>
      </c>
      <c r="V35" s="518" t="s">
        <v>17</v>
      </c>
      <c r="W35" s="519">
        <f t="shared" si="14"/>
        <v>100</v>
      </c>
      <c r="X35" s="1161"/>
      <c r="Y35" s="3837"/>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22"/>
      <c r="Q36" s="1158" t="str">
        <f t="shared" si="11"/>
        <v>公共部分装修</v>
      </c>
      <c r="R36" s="518" t="s">
        <v>17</v>
      </c>
      <c r="S36" s="519">
        <f t="shared" si="12"/>
        <v>100</v>
      </c>
      <c r="T36" s="518" t="s">
        <v>17</v>
      </c>
      <c r="U36" s="519">
        <f t="shared" si="13"/>
        <v>100</v>
      </c>
      <c r="V36" s="518" t="s">
        <v>17</v>
      </c>
      <c r="W36" s="519">
        <f t="shared" si="14"/>
        <v>100</v>
      </c>
      <c r="X36" s="1161"/>
      <c r="Y36" s="3837"/>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22"/>
      <c r="Q37" s="1158" t="str">
        <f t="shared" si="11"/>
        <v>成新度</v>
      </c>
      <c r="R37" s="518" t="s">
        <v>17</v>
      </c>
      <c r="S37" s="519" t="e">
        <f t="shared" si="12"/>
        <v>#N/A</v>
      </c>
      <c r="T37" s="518" t="s">
        <v>17</v>
      </c>
      <c r="U37" s="519" t="e">
        <f t="shared" si="13"/>
        <v>#N/A</v>
      </c>
      <c r="V37" s="518" t="s">
        <v>17</v>
      </c>
      <c r="W37" s="519" t="e">
        <f t="shared" si="14"/>
        <v>#N/A</v>
      </c>
      <c r="X37" s="1161"/>
      <c r="Y37" s="3837"/>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22"/>
      <c r="Q38" s="1150" t="str">
        <f t="shared" si="11"/>
        <v>写字楼等级</v>
      </c>
      <c r="R38" s="514" t="s">
        <v>17</v>
      </c>
      <c r="S38" s="515">
        <f t="shared" si="12"/>
        <v>100</v>
      </c>
      <c r="T38" s="514" t="s">
        <v>17</v>
      </c>
      <c r="U38" s="515">
        <f t="shared" si="13"/>
        <v>100</v>
      </c>
      <c r="V38" s="514" t="s">
        <v>17</v>
      </c>
      <c r="W38" s="515">
        <f t="shared" si="14"/>
        <v>100</v>
      </c>
      <c r="X38" s="516"/>
      <c r="Y38" s="3837"/>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22" t="s">
        <v>2143</v>
      </c>
      <c r="Q39" s="1158" t="str">
        <f t="shared" si="11"/>
        <v>物业管理</v>
      </c>
      <c r="R39" s="518" t="s">
        <v>17</v>
      </c>
      <c r="S39" s="519">
        <f t="shared" si="12"/>
        <v>100</v>
      </c>
      <c r="T39" s="518" t="s">
        <v>17</v>
      </c>
      <c r="U39" s="519">
        <f t="shared" si="13"/>
        <v>100</v>
      </c>
      <c r="V39" s="518" t="s">
        <v>17</v>
      </c>
      <c r="W39" s="519">
        <f t="shared" si="14"/>
        <v>100</v>
      </c>
      <c r="X39" s="1161"/>
      <c r="Y39" s="3837"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22"/>
      <c r="Q40" s="1158" t="str">
        <f t="shared" si="11"/>
        <v>市政基础设施</v>
      </c>
      <c r="R40" s="518" t="s">
        <v>17</v>
      </c>
      <c r="S40" s="519">
        <f t="shared" si="12"/>
        <v>100</v>
      </c>
      <c r="T40" s="518" t="s">
        <v>17</v>
      </c>
      <c r="U40" s="519">
        <f t="shared" si="13"/>
        <v>100</v>
      </c>
      <c r="V40" s="518" t="s">
        <v>17</v>
      </c>
      <c r="W40" s="519">
        <f t="shared" si="14"/>
        <v>100</v>
      </c>
      <c r="X40" s="1161"/>
      <c r="Y40" s="3837"/>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22"/>
      <c r="Q41" s="1158" t="str">
        <f t="shared" si="11"/>
        <v>层高</v>
      </c>
      <c r="R41" s="518" t="s">
        <v>17</v>
      </c>
      <c r="S41" s="519">
        <f t="shared" si="12"/>
        <v>100</v>
      </c>
      <c r="T41" s="518" t="s">
        <v>17</v>
      </c>
      <c r="U41" s="519">
        <f t="shared" si="13"/>
        <v>100</v>
      </c>
      <c r="V41" s="518" t="s">
        <v>17</v>
      </c>
      <c r="W41" s="519">
        <f t="shared" si="14"/>
        <v>100</v>
      </c>
      <c r="X41" s="1161"/>
      <c r="Y41" s="3837"/>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22"/>
      <c r="Q42" s="520" t="str">
        <f t="shared" si="11"/>
        <v>单套建筑面积</v>
      </c>
      <c r="R42" s="521" t="s">
        <v>17</v>
      </c>
      <c r="S42" s="522">
        <f t="shared" si="12"/>
        <v>100</v>
      </c>
      <c r="T42" s="521" t="s">
        <v>17</v>
      </c>
      <c r="U42" s="522">
        <f t="shared" si="13"/>
        <v>100</v>
      </c>
      <c r="V42" s="521" t="s">
        <v>17</v>
      </c>
      <c r="W42" s="522">
        <f t="shared" si="14"/>
        <v>100</v>
      </c>
      <c r="X42" s="523"/>
      <c r="Y42" s="3837"/>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22"/>
      <c r="Q43" s="1158" t="str">
        <f t="shared" si="11"/>
        <v>内部装修</v>
      </c>
      <c r="R43" s="518" t="s">
        <v>17</v>
      </c>
      <c r="S43" s="519">
        <f t="shared" si="12"/>
        <v>100</v>
      </c>
      <c r="T43" s="518" t="s">
        <v>17</v>
      </c>
      <c r="U43" s="519">
        <f t="shared" si="13"/>
        <v>100</v>
      </c>
      <c r="V43" s="518" t="s">
        <v>17</v>
      </c>
      <c r="W43" s="519">
        <f t="shared" si="14"/>
        <v>100</v>
      </c>
      <c r="X43" s="1161"/>
      <c r="Y43" s="3837"/>
      <c r="Z43" s="1162" t="str">
        <f t="shared" si="15"/>
        <v>内部装修</v>
      </c>
      <c r="AA43" s="1159">
        <f t="shared" si="3"/>
        <v>1</v>
      </c>
      <c r="AB43" s="1159">
        <f t="shared" si="4"/>
        <v>1</v>
      </c>
      <c r="AC43" s="1508">
        <f t="shared" si="5"/>
        <v>1</v>
      </c>
    </row>
    <row r="44" spans="1:29" ht="28.8">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22"/>
      <c r="Q44" s="1158" t="str">
        <f t="shared" si="11"/>
        <v>内部装修维护情况</v>
      </c>
      <c r="R44" s="518" t="s">
        <v>17</v>
      </c>
      <c r="S44" s="519">
        <f t="shared" si="12"/>
        <v>100</v>
      </c>
      <c r="T44" s="518" t="s">
        <v>17</v>
      </c>
      <c r="U44" s="519">
        <f t="shared" si="13"/>
        <v>100</v>
      </c>
      <c r="V44" s="518" t="s">
        <v>17</v>
      </c>
      <c r="W44" s="519">
        <f t="shared" si="14"/>
        <v>100</v>
      </c>
      <c r="X44" s="1161"/>
      <c r="Y44" s="3837"/>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22"/>
      <c r="Q45" s="1150">
        <f t="shared" si="11"/>
        <v>111</v>
      </c>
      <c r="R45" s="514" t="s">
        <v>17</v>
      </c>
      <c r="S45" s="515">
        <f t="shared" si="12"/>
        <v>100</v>
      </c>
      <c r="T45" s="514" t="s">
        <v>17</v>
      </c>
      <c r="U45" s="515">
        <f t="shared" si="13"/>
        <v>100</v>
      </c>
      <c r="V45" s="514" t="s">
        <v>17</v>
      </c>
      <c r="W45" s="515">
        <f t="shared" si="14"/>
        <v>100</v>
      </c>
      <c r="X45" s="516"/>
      <c r="Y45" s="3837"/>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22"/>
      <c r="Q46" s="1158">
        <f t="shared" si="11"/>
        <v>111</v>
      </c>
      <c r="R46" s="518" t="s">
        <v>17</v>
      </c>
      <c r="S46" s="519">
        <f t="shared" si="12"/>
        <v>100</v>
      </c>
      <c r="T46" s="518" t="s">
        <v>17</v>
      </c>
      <c r="U46" s="519">
        <f t="shared" si="13"/>
        <v>100</v>
      </c>
      <c r="V46" s="518" t="s">
        <v>17</v>
      </c>
      <c r="W46" s="519">
        <f t="shared" si="14"/>
        <v>100</v>
      </c>
      <c r="X46" s="1161"/>
      <c r="Y46" s="3837"/>
      <c r="Z46" s="1162">
        <f t="shared" si="15"/>
        <v>111</v>
      </c>
      <c r="AA46" s="1159">
        <f t="shared" si="3"/>
        <v>1</v>
      </c>
      <c r="AB46" s="1159">
        <f t="shared" si="4"/>
        <v>1</v>
      </c>
      <c r="AC46" s="1508">
        <f t="shared" si="5"/>
        <v>1</v>
      </c>
    </row>
    <row r="47" spans="1:29" ht="15.6"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23"/>
      <c r="Q47" s="1158">
        <f t="shared" si="11"/>
        <v>111</v>
      </c>
      <c r="R47" s="518" t="s">
        <v>17</v>
      </c>
      <c r="S47" s="519">
        <f t="shared" si="12"/>
        <v>100</v>
      </c>
      <c r="T47" s="518" t="s">
        <v>17</v>
      </c>
      <c r="U47" s="519">
        <f t="shared" si="13"/>
        <v>100</v>
      </c>
      <c r="V47" s="518" t="s">
        <v>17</v>
      </c>
      <c r="W47" s="519">
        <f t="shared" si="14"/>
        <v>100</v>
      </c>
      <c r="X47" s="1161"/>
      <c r="Y47" s="3924"/>
      <c r="Z47" s="1162">
        <f t="shared" si="15"/>
        <v>111</v>
      </c>
      <c r="AA47" s="1159">
        <f t="shared" si="3"/>
        <v>1</v>
      </c>
      <c r="AB47" s="1159">
        <f t="shared" si="4"/>
        <v>1</v>
      </c>
      <c r="AC47" s="1508">
        <f t="shared" si="5"/>
        <v>1</v>
      </c>
    </row>
    <row r="48" spans="1:29" ht="14.4">
      <c r="A48" s="288" t="s">
        <v>2155</v>
      </c>
      <c r="B48" s="289"/>
      <c r="C48" s="965" t="s">
        <v>1</v>
      </c>
      <c r="D48" s="966"/>
      <c r="E48" s="967"/>
      <c r="F48" s="968"/>
      <c r="G48" s="969"/>
      <c r="H48" s="970"/>
      <c r="I48" s="967"/>
      <c r="J48" s="294"/>
      <c r="K48" s="527"/>
      <c r="L48" s="2110"/>
      <c r="M48" s="2102"/>
      <c r="N48" s="2102"/>
      <c r="O48" s="2102"/>
      <c r="P48" s="3914" t="str">
        <f>A48</f>
        <v>成交单价（元/平方米）</v>
      </c>
      <c r="Q48" s="3818"/>
      <c r="R48" s="3925">
        <f>E48</f>
        <v>0</v>
      </c>
      <c r="S48" s="3925"/>
      <c r="T48" s="3925">
        <f>G48</f>
        <v>0</v>
      </c>
      <c r="U48" s="3925"/>
      <c r="V48" s="3925">
        <f>I48</f>
        <v>0</v>
      </c>
      <c r="W48" s="3925"/>
      <c r="X48" s="259"/>
      <c r="Y48" s="525"/>
      <c r="Z48" s="259"/>
      <c r="AA48" s="259"/>
      <c r="AB48" s="259"/>
      <c r="AC48" s="431"/>
    </row>
    <row r="49" spans="1:29" ht="1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4" t="str">
        <f>A49</f>
        <v>比较价值（元/平方米）</v>
      </c>
      <c r="Q49" s="3818"/>
      <c r="R49" s="3925" t="e">
        <f>IF(F1="售价",ROUND(PRODUCT(R48,AA7:AA47),0),ROUND(PRODUCT(R48,AA7:AA47),1))</f>
        <v>#DIV/0!</v>
      </c>
      <c r="S49" s="3925"/>
      <c r="T49" s="3925" t="e">
        <f>IF(F1="售价",ROUND(PRODUCT(T48,AB7:AB47),0),ROUND(PRODUCT(T48,AB7:AB47),1))</f>
        <v>#DIV/0!</v>
      </c>
      <c r="U49" s="3925"/>
      <c r="V49" s="3925" t="e">
        <f>IF(F1="售价",ROUND(PRODUCT(V48,AC7:AC47),0),ROUND(PRODUCT(V48,AC7:AC47),1))</f>
        <v>#DIV/0!</v>
      </c>
      <c r="W49" s="3925"/>
      <c r="X49" s="259"/>
      <c r="Y49" s="259"/>
      <c r="Z49" s="259"/>
      <c r="AA49" s="259"/>
      <c r="AB49" s="259"/>
      <c r="AC49" s="431"/>
    </row>
    <row r="50" spans="1:29" ht="15" thickBot="1">
      <c r="A50" s="299" t="s">
        <v>2248</v>
      </c>
      <c r="B50" s="300"/>
      <c r="C50" s="973" t="e">
        <f>R50</f>
        <v>#DIV/0!</v>
      </c>
      <c r="D50" s="973"/>
      <c r="E50" s="973"/>
      <c r="F50" s="973"/>
      <c r="G50" s="973"/>
      <c r="H50" s="973"/>
      <c r="I50" s="973"/>
      <c r="J50" s="301"/>
      <c r="K50" s="528"/>
      <c r="L50" s="2110"/>
      <c r="M50" s="2102"/>
      <c r="N50" s="2102"/>
      <c r="O50" s="2102"/>
      <c r="P50" s="3939" t="str">
        <f>A50</f>
        <v>估价对象XX用房的比较价值（楼面单价，元/平方米）</v>
      </c>
      <c r="Q50" s="3940"/>
      <c r="R50" s="3941" t="e">
        <f>IF(F1="售价",ROUND(IF(D49="简单平均",AVERAGE(R49:V49),R49*F49+T49*H49+V49*J49),0),ROUND(IF(D49="简单平均",AVERAGE(R49:V49),R49*F49+T49*H49+V49*J49),1))</f>
        <v>#DIV/0!</v>
      </c>
      <c r="S50" s="3941"/>
      <c r="T50" s="3941"/>
      <c r="U50" s="3941"/>
      <c r="V50" s="3941"/>
      <c r="W50" s="3941"/>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2.2"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4.4">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4.4">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4.4"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ht="14.4">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4.4"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9.4"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4.4"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4.4"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4.4"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4.4"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4.4"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4.4"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4.4"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4.4"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ht="14.4">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4.4"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4.4"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4.4"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4.4"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4.4"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9.4"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4.4"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4.4"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4.4"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4.4"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4.4"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4.4"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4.4"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4.4"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4.4"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4.4"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4.4"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4.4"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4.4"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ht="14.4">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4.4"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4.4"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4.4"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4.4"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4.4"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4.4"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4.4"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4.4"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4.4"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4.4"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4.4"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29.4"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4.4"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4.4"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4.4"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4.4"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4.4"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4.4"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4.4"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219" customWidth="1"/>
    <col min="2" max="2" width="15.77734375" style="219" customWidth="1"/>
    <col min="3" max="3" width="14.332031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122002.77</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4.4">
      <c r="A4" s="217" t="s">
        <v>2223</v>
      </c>
      <c r="B4" s="218"/>
      <c r="C4" s="3915" t="s">
        <v>2224</v>
      </c>
      <c r="D4" s="3916"/>
      <c r="E4" s="3917" t="s">
        <v>2225</v>
      </c>
      <c r="F4" s="3918"/>
      <c r="G4" s="3915" t="s">
        <v>2226</v>
      </c>
      <c r="H4" s="3916"/>
      <c r="I4" s="3915" t="s">
        <v>2227</v>
      </c>
      <c r="J4" s="3916"/>
      <c r="K4" s="414" t="s">
        <v>2228</v>
      </c>
      <c r="L4" s="765"/>
      <c r="M4" s="766"/>
      <c r="N4" s="766"/>
      <c r="O4" s="766"/>
      <c r="P4" s="3824" t="s">
        <v>2229</v>
      </c>
      <c r="Q4" s="3825"/>
      <c r="R4" s="3806" t="s">
        <v>2225</v>
      </c>
      <c r="S4" s="3807"/>
      <c r="T4" s="3806" t="s">
        <v>2226</v>
      </c>
      <c r="U4" s="3807"/>
      <c r="V4" s="3832" t="s">
        <v>2227</v>
      </c>
      <c r="W4" s="3832"/>
      <c r="X4" s="1161"/>
      <c r="Y4" s="3806" t="s">
        <v>2229</v>
      </c>
      <c r="Z4" s="3807"/>
      <c r="AA4" s="3801" t="s">
        <v>2225</v>
      </c>
      <c r="AB4" s="3802" t="s">
        <v>2226</v>
      </c>
      <c r="AC4" s="3801" t="s">
        <v>2227</v>
      </c>
    </row>
    <row r="5" spans="1:29">
      <c r="A5" s="220"/>
      <c r="B5" s="221"/>
      <c r="C5" s="3908" t="s">
        <v>2120</v>
      </c>
      <c r="D5" s="3909"/>
      <c r="E5" s="3906" t="s">
        <v>2121</v>
      </c>
      <c r="F5" s="3907"/>
      <c r="G5" s="3908" t="s">
        <v>2122</v>
      </c>
      <c r="H5" s="3909"/>
      <c r="I5" s="3908" t="s">
        <v>2123</v>
      </c>
      <c r="J5" s="3909"/>
      <c r="K5" s="414"/>
      <c r="L5" s="765"/>
      <c r="M5" s="766"/>
      <c r="N5" s="766"/>
      <c r="O5" s="766"/>
      <c r="P5" s="3826"/>
      <c r="Q5" s="3827"/>
      <c r="R5" s="3808"/>
      <c r="S5" s="3809"/>
      <c r="T5" s="3808"/>
      <c r="U5" s="3809"/>
      <c r="V5" s="3832"/>
      <c r="W5" s="3832"/>
      <c r="X5" s="1161"/>
      <c r="Y5" s="3808"/>
      <c r="Z5" s="3809"/>
      <c r="AA5" s="3802"/>
      <c r="AB5" s="3802"/>
      <c r="AC5" s="3802"/>
    </row>
    <row r="6" spans="1:29" ht="15" thickBot="1">
      <c r="A6" s="222"/>
      <c r="B6" s="223"/>
      <c r="C6" s="3910" t="s">
        <v>2124</v>
      </c>
      <c r="D6" s="3911"/>
      <c r="E6" s="3912" t="s">
        <v>2124</v>
      </c>
      <c r="F6" s="3913"/>
      <c r="G6" s="3910" t="s">
        <v>2124</v>
      </c>
      <c r="H6" s="3911"/>
      <c r="I6" s="3910" t="s">
        <v>2124</v>
      </c>
      <c r="J6" s="3911"/>
      <c r="K6" s="414" t="s">
        <v>2125</v>
      </c>
      <c r="L6" s="765"/>
      <c r="M6" s="766"/>
      <c r="N6" s="766"/>
      <c r="O6" s="766"/>
      <c r="P6" s="3828"/>
      <c r="Q6" s="3829"/>
      <c r="R6" s="3808"/>
      <c r="S6" s="3809"/>
      <c r="T6" s="3830"/>
      <c r="U6" s="3831"/>
      <c r="V6" s="3832"/>
      <c r="W6" s="3832"/>
      <c r="X6" s="1161"/>
      <c r="Y6" s="3830"/>
      <c r="Z6" s="3831"/>
      <c r="AA6" s="3803"/>
      <c r="AB6" s="3803"/>
      <c r="AC6" s="3803"/>
    </row>
    <row r="7" spans="1:29" s="50" customFormat="1" ht="1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04" t="s">
        <v>2127</v>
      </c>
      <c r="Q7" s="3833"/>
      <c r="R7" s="514" t="s">
        <v>17</v>
      </c>
      <c r="S7" s="515">
        <f t="shared" ref="S7:S15" si="0">F7</f>
        <v>0</v>
      </c>
      <c r="T7" s="514" t="s">
        <v>17</v>
      </c>
      <c r="U7" s="515">
        <f t="shared" ref="U7:U15" si="1">H7</f>
        <v>0</v>
      </c>
      <c r="V7" s="514" t="s">
        <v>17</v>
      </c>
      <c r="W7" s="515">
        <f t="shared" ref="W7:W15" si="2">J7</f>
        <v>0</v>
      </c>
      <c r="X7" s="516"/>
      <c r="Y7" s="3804" t="s">
        <v>2127</v>
      </c>
      <c r="Z7" s="3805"/>
      <c r="AA7" s="517" t="e">
        <f>D7/F7</f>
        <v>#DIV/0!</v>
      </c>
      <c r="AB7" s="517" t="e">
        <f>D7/H7</f>
        <v>#DIV/0!</v>
      </c>
      <c r="AC7" s="517" t="e">
        <f>D7/J7</f>
        <v>#DIV/0!</v>
      </c>
    </row>
    <row r="8" spans="1:29" s="50" customFormat="1" ht="1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04" t="s">
        <v>2130</v>
      </c>
      <c r="Q8" s="3805"/>
      <c r="R8" s="514" t="s">
        <v>17</v>
      </c>
      <c r="S8" s="515">
        <f t="shared" si="0"/>
        <v>0</v>
      </c>
      <c r="T8" s="514" t="s">
        <v>17</v>
      </c>
      <c r="U8" s="515">
        <f t="shared" si="1"/>
        <v>0</v>
      </c>
      <c r="V8" s="514" t="s">
        <v>17</v>
      </c>
      <c r="W8" s="515">
        <f t="shared" si="2"/>
        <v>0</v>
      </c>
      <c r="X8" s="516"/>
      <c r="Y8" s="3804" t="s">
        <v>2130</v>
      </c>
      <c r="Z8" s="3805"/>
      <c r="AA8" s="517" t="e">
        <f t="shared" ref="AA8:AA40" si="3">D8/F8</f>
        <v>#DIV/0!</v>
      </c>
      <c r="AB8" s="517" t="e">
        <f t="shared" ref="AB8:AB40" si="4">D8/H8</f>
        <v>#DIV/0!</v>
      </c>
      <c r="AC8" s="517" t="e">
        <f t="shared" ref="AC8:AC40" si="5">D8/J8</f>
        <v>#DIV/0!</v>
      </c>
    </row>
    <row r="9" spans="1:29" s="50" customFormat="1" ht="14.4">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18" t="s">
        <v>2133</v>
      </c>
      <c r="Q9" s="1150" t="str">
        <f t="shared" ref="Q9:Q15" si="6">B9</f>
        <v>用途</v>
      </c>
      <c r="R9" s="514" t="s">
        <v>17</v>
      </c>
      <c r="S9" s="515">
        <f t="shared" si="0"/>
        <v>100</v>
      </c>
      <c r="T9" s="514" t="s">
        <v>17</v>
      </c>
      <c r="U9" s="515">
        <f t="shared" si="1"/>
        <v>100</v>
      </c>
      <c r="V9" s="514" t="s">
        <v>17</v>
      </c>
      <c r="W9" s="515">
        <f t="shared" si="2"/>
        <v>100</v>
      </c>
      <c r="X9" s="516"/>
      <c r="Y9" s="3819" t="s">
        <v>2134</v>
      </c>
      <c r="Z9" s="46" t="str">
        <f t="shared" ref="Z9:Z15" si="7">Q9</f>
        <v>用途</v>
      </c>
      <c r="AA9" s="517">
        <f t="shared" si="3"/>
        <v>1</v>
      </c>
      <c r="AB9" s="517">
        <f t="shared" si="4"/>
        <v>1</v>
      </c>
      <c r="AC9" s="517">
        <f t="shared" si="5"/>
        <v>1</v>
      </c>
    </row>
    <row r="10" spans="1:29" s="241" customFormat="1" ht="28.8">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18"/>
      <c r="Q10" s="1150" t="str">
        <f t="shared" si="6"/>
        <v>土地使用年限（年）</v>
      </c>
      <c r="R10" s="514" t="s">
        <v>17</v>
      </c>
      <c r="S10" s="515">
        <f t="shared" si="0"/>
        <v>100</v>
      </c>
      <c r="T10" s="514" t="s">
        <v>17</v>
      </c>
      <c r="U10" s="515">
        <f t="shared" si="1"/>
        <v>100</v>
      </c>
      <c r="V10" s="514" t="s">
        <v>17</v>
      </c>
      <c r="W10" s="515">
        <f t="shared" si="2"/>
        <v>100</v>
      </c>
      <c r="X10" s="516"/>
      <c r="Y10" s="3819"/>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18"/>
      <c r="Q11" s="1150" t="str">
        <f t="shared" si="6"/>
        <v>容积率</v>
      </c>
      <c r="R11" s="514" t="s">
        <v>17</v>
      </c>
      <c r="S11" s="515" t="e">
        <f t="shared" si="0"/>
        <v>#N/A</v>
      </c>
      <c r="T11" s="514" t="s">
        <v>17</v>
      </c>
      <c r="U11" s="515" t="e">
        <f t="shared" si="1"/>
        <v>#N/A</v>
      </c>
      <c r="V11" s="514" t="s">
        <v>17</v>
      </c>
      <c r="W11" s="515" t="e">
        <f t="shared" si="2"/>
        <v>#N/A</v>
      </c>
      <c r="X11" s="516"/>
      <c r="Y11" s="3819"/>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18"/>
      <c r="Q12" s="1150">
        <f t="shared" si="6"/>
        <v>111</v>
      </c>
      <c r="R12" s="514" t="s">
        <v>17</v>
      </c>
      <c r="S12" s="515">
        <f t="shared" si="0"/>
        <v>100</v>
      </c>
      <c r="T12" s="514" t="s">
        <v>17</v>
      </c>
      <c r="U12" s="515">
        <f t="shared" si="1"/>
        <v>100</v>
      </c>
      <c r="V12" s="514" t="s">
        <v>17</v>
      </c>
      <c r="W12" s="515">
        <f t="shared" si="2"/>
        <v>100</v>
      </c>
      <c r="X12" s="516"/>
      <c r="Y12" s="3819"/>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18"/>
      <c r="Q13" s="1150">
        <f t="shared" si="6"/>
        <v>111</v>
      </c>
      <c r="R13" s="514" t="s">
        <v>17</v>
      </c>
      <c r="S13" s="515">
        <f t="shared" si="0"/>
        <v>100</v>
      </c>
      <c r="T13" s="514" t="s">
        <v>17</v>
      </c>
      <c r="U13" s="515">
        <f t="shared" si="1"/>
        <v>100</v>
      </c>
      <c r="V13" s="514" t="s">
        <v>17</v>
      </c>
      <c r="W13" s="515">
        <f t="shared" si="2"/>
        <v>100</v>
      </c>
      <c r="X13" s="516"/>
      <c r="Y13" s="3819"/>
      <c r="Z13" s="46">
        <f t="shared" si="7"/>
        <v>111</v>
      </c>
      <c r="AA13" s="517">
        <f t="shared" si="3"/>
        <v>1</v>
      </c>
      <c r="AB13" s="517">
        <f t="shared" si="4"/>
        <v>1</v>
      </c>
      <c r="AC13" s="517">
        <f t="shared" si="5"/>
        <v>1</v>
      </c>
    </row>
    <row r="14" spans="1:29" ht="15.6"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18"/>
      <c r="Q14" s="1150">
        <f t="shared" si="6"/>
        <v>111</v>
      </c>
      <c r="R14" s="514" t="s">
        <v>17</v>
      </c>
      <c r="S14" s="515">
        <f t="shared" si="0"/>
        <v>100</v>
      </c>
      <c r="T14" s="514" t="s">
        <v>17</v>
      </c>
      <c r="U14" s="515">
        <f t="shared" si="1"/>
        <v>100</v>
      </c>
      <c r="V14" s="514" t="s">
        <v>17</v>
      </c>
      <c r="W14" s="515">
        <f t="shared" si="2"/>
        <v>100</v>
      </c>
      <c r="X14" s="516"/>
      <c r="Y14" s="3819"/>
      <c r="Z14" s="46">
        <f t="shared" si="7"/>
        <v>111</v>
      </c>
      <c r="AA14" s="517">
        <f t="shared" si="3"/>
        <v>1</v>
      </c>
      <c r="AB14" s="517">
        <f t="shared" si="4"/>
        <v>1</v>
      </c>
      <c r="AC14" s="517">
        <f t="shared" si="5"/>
        <v>1</v>
      </c>
    </row>
    <row r="15" spans="1:29" ht="69">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34" t="s">
        <v>2138</v>
      </c>
      <c r="Q15" s="1158" t="str">
        <f t="shared" si="6"/>
        <v>产业集聚程度</v>
      </c>
      <c r="R15" s="518" t="s">
        <v>17</v>
      </c>
      <c r="S15" s="519">
        <f t="shared" si="0"/>
        <v>100</v>
      </c>
      <c r="T15" s="518" t="s">
        <v>17</v>
      </c>
      <c r="U15" s="519">
        <f t="shared" si="1"/>
        <v>100</v>
      </c>
      <c r="V15" s="518" t="s">
        <v>17</v>
      </c>
      <c r="W15" s="519">
        <f t="shared" si="2"/>
        <v>100</v>
      </c>
      <c r="X15" s="1161"/>
      <c r="Y15" s="3834"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35"/>
      <c r="Q16" s="1158"/>
      <c r="R16" s="518"/>
      <c r="S16" s="519"/>
      <c r="T16" s="518"/>
      <c r="U16" s="519"/>
      <c r="V16" s="518"/>
      <c r="W16" s="519"/>
      <c r="X16" s="1161"/>
      <c r="Y16" s="3835"/>
      <c r="Z16" s="1162"/>
      <c r="AA16" s="1159">
        <v>1</v>
      </c>
      <c r="AB16" s="1159">
        <v>1</v>
      </c>
      <c r="AC16" s="1159">
        <v>1</v>
      </c>
    </row>
    <row r="17" spans="1:29" ht="96.6">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35"/>
      <c r="Q17" s="1158" t="str">
        <f>B17</f>
        <v>交通便捷度</v>
      </c>
      <c r="R17" s="518" t="s">
        <v>17</v>
      </c>
      <c r="S17" s="519">
        <f>F17</f>
        <v>100</v>
      </c>
      <c r="T17" s="518" t="s">
        <v>17</v>
      </c>
      <c r="U17" s="519">
        <f>H17</f>
        <v>100</v>
      </c>
      <c r="V17" s="518" t="s">
        <v>17</v>
      </c>
      <c r="W17" s="519">
        <f>J17</f>
        <v>100</v>
      </c>
      <c r="X17" s="1161"/>
      <c r="Y17" s="3835"/>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35"/>
      <c r="Q18" s="1158"/>
      <c r="R18" s="518"/>
      <c r="S18" s="519"/>
      <c r="T18" s="518"/>
      <c r="U18" s="519"/>
      <c r="V18" s="518"/>
      <c r="W18" s="519"/>
      <c r="X18" s="1161"/>
      <c r="Y18" s="3835"/>
      <c r="Z18" s="1162"/>
      <c r="AA18" s="1159">
        <v>1</v>
      </c>
      <c r="AB18" s="1159">
        <v>1</v>
      </c>
      <c r="AC18" s="1159">
        <v>1</v>
      </c>
    </row>
    <row r="19" spans="1:29" ht="41.4">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35"/>
      <c r="Q19" s="1158" t="str">
        <f>B19</f>
        <v>公共配套设施</v>
      </c>
      <c r="R19" s="518" t="s">
        <v>17</v>
      </c>
      <c r="S19" s="519">
        <f>F19</f>
        <v>100</v>
      </c>
      <c r="T19" s="518" t="s">
        <v>17</v>
      </c>
      <c r="U19" s="519">
        <f>H19</f>
        <v>100</v>
      </c>
      <c r="V19" s="518" t="s">
        <v>17</v>
      </c>
      <c r="W19" s="519">
        <f>J19</f>
        <v>100</v>
      </c>
      <c r="X19" s="1161"/>
      <c r="Y19" s="3835"/>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35"/>
      <c r="Q20" s="1158"/>
      <c r="R20" s="518"/>
      <c r="S20" s="519"/>
      <c r="T20" s="518"/>
      <c r="U20" s="519"/>
      <c r="V20" s="518"/>
      <c r="W20" s="519"/>
      <c r="X20" s="1161"/>
      <c r="Y20" s="3835"/>
      <c r="Z20" s="1162"/>
      <c r="AA20" s="1159">
        <v>1</v>
      </c>
      <c r="AB20" s="1159">
        <v>1</v>
      </c>
      <c r="AC20" s="1159">
        <v>1</v>
      </c>
    </row>
    <row r="21" spans="1:29" ht="41.4">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35"/>
      <c r="Q21" s="1158" t="str">
        <f>B21</f>
        <v>基础设施水平</v>
      </c>
      <c r="R21" s="518" t="s">
        <v>17</v>
      </c>
      <c r="S21" s="519">
        <f>F21</f>
        <v>100</v>
      </c>
      <c r="T21" s="518" t="s">
        <v>17</v>
      </c>
      <c r="U21" s="519">
        <f>H21</f>
        <v>100</v>
      </c>
      <c r="V21" s="518" t="s">
        <v>17</v>
      </c>
      <c r="W21" s="519">
        <f>J21</f>
        <v>100</v>
      </c>
      <c r="X21" s="1161"/>
      <c r="Y21" s="3835"/>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35"/>
      <c r="Q22" s="1158"/>
      <c r="R22" s="518"/>
      <c r="S22" s="519"/>
      <c r="T22" s="518"/>
      <c r="U22" s="519"/>
      <c r="V22" s="518"/>
      <c r="W22" s="519"/>
      <c r="X22" s="1161"/>
      <c r="Y22" s="3835"/>
      <c r="Z22" s="1162"/>
      <c r="AA22" s="1159">
        <v>1</v>
      </c>
      <c r="AB22" s="1159">
        <v>1</v>
      </c>
      <c r="AC22" s="1159">
        <v>1</v>
      </c>
    </row>
    <row r="23" spans="1:29" ht="82.8">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35"/>
      <c r="Q23" s="1158" t="str">
        <f>B23</f>
        <v>环境质量</v>
      </c>
      <c r="R23" s="518" t="s">
        <v>17</v>
      </c>
      <c r="S23" s="519">
        <f>F23</f>
        <v>100</v>
      </c>
      <c r="T23" s="518" t="s">
        <v>17</v>
      </c>
      <c r="U23" s="519">
        <f>H23</f>
        <v>100</v>
      </c>
      <c r="V23" s="518" t="s">
        <v>17</v>
      </c>
      <c r="W23" s="519">
        <f>J23</f>
        <v>100</v>
      </c>
      <c r="X23" s="1161"/>
      <c r="Y23" s="3835"/>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35"/>
      <c r="Q24" s="1158"/>
      <c r="R24" s="518"/>
      <c r="S24" s="519"/>
      <c r="T24" s="518"/>
      <c r="U24" s="519"/>
      <c r="V24" s="518"/>
      <c r="W24" s="519"/>
      <c r="X24" s="1161"/>
      <c r="Y24" s="3835"/>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35"/>
      <c r="Q25" s="1158">
        <f>B25</f>
        <v>111</v>
      </c>
      <c r="R25" s="518" t="s">
        <v>17</v>
      </c>
      <c r="S25" s="519">
        <f>F25</f>
        <v>100</v>
      </c>
      <c r="T25" s="518" t="s">
        <v>17</v>
      </c>
      <c r="U25" s="519">
        <f>H25</f>
        <v>100</v>
      </c>
      <c r="V25" s="518" t="s">
        <v>17</v>
      </c>
      <c r="W25" s="519">
        <f>J25</f>
        <v>100</v>
      </c>
      <c r="X25" s="1161"/>
      <c r="Y25" s="3835"/>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35"/>
      <c r="Q26" s="1158">
        <f t="shared" ref="Q26:Q40" si="11">B26</f>
        <v>111</v>
      </c>
      <c r="R26" s="518" t="s">
        <v>17</v>
      </c>
      <c r="S26" s="519">
        <f>F26</f>
        <v>100</v>
      </c>
      <c r="T26" s="518" t="s">
        <v>17</v>
      </c>
      <c r="U26" s="519">
        <f>H26</f>
        <v>100</v>
      </c>
      <c r="V26" s="518" t="s">
        <v>17</v>
      </c>
      <c r="W26" s="519">
        <f>J26</f>
        <v>100</v>
      </c>
      <c r="X26" s="1161"/>
      <c r="Y26" s="3835"/>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35"/>
      <c r="Q27" s="1150">
        <f t="shared" si="11"/>
        <v>111</v>
      </c>
      <c r="R27" s="514" t="s">
        <v>17</v>
      </c>
      <c r="S27" s="515">
        <f>F27</f>
        <v>100</v>
      </c>
      <c r="T27" s="514" t="s">
        <v>17</v>
      </c>
      <c r="U27" s="515">
        <f>H27</f>
        <v>100</v>
      </c>
      <c r="V27" s="514" t="s">
        <v>17</v>
      </c>
      <c r="W27" s="515">
        <f>J27</f>
        <v>100</v>
      </c>
      <c r="X27" s="516"/>
      <c r="Y27" s="3835"/>
      <c r="Z27" s="46">
        <f>Q27</f>
        <v>111</v>
      </c>
      <c r="AA27" s="1159">
        <f>D27/F27</f>
        <v>1</v>
      </c>
      <c r="AB27" s="1159">
        <f>D27/H27</f>
        <v>1</v>
      </c>
      <c r="AC27" s="1159">
        <f>D27/J27</f>
        <v>1</v>
      </c>
    </row>
    <row r="28" spans="1:29" ht="15.6"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35"/>
      <c r="Q28" s="1158">
        <f t="shared" si="11"/>
        <v>111</v>
      </c>
      <c r="R28" s="518" t="s">
        <v>17</v>
      </c>
      <c r="S28" s="519">
        <f t="shared" ref="S28:S40" si="12">F28</f>
        <v>100</v>
      </c>
      <c r="T28" s="518" t="s">
        <v>17</v>
      </c>
      <c r="U28" s="519">
        <f t="shared" ref="U28:U40" si="13">H28</f>
        <v>100</v>
      </c>
      <c r="V28" s="518" t="s">
        <v>17</v>
      </c>
      <c r="W28" s="519">
        <f t="shared" ref="W28:W40" si="14">J28</f>
        <v>100</v>
      </c>
      <c r="X28" s="1161"/>
      <c r="Y28" s="3835"/>
      <c r="Z28" s="1162">
        <f t="shared" ref="Z28:Z40" si="15">Q28</f>
        <v>111</v>
      </c>
      <c r="AA28" s="1159">
        <f t="shared" si="3"/>
        <v>1</v>
      </c>
      <c r="AB28" s="1159">
        <f t="shared" si="4"/>
        <v>1</v>
      </c>
      <c r="AC28" s="1159">
        <f t="shared" si="5"/>
        <v>1</v>
      </c>
    </row>
    <row r="29" spans="1:29" ht="30">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36" t="s">
        <v>2143</v>
      </c>
      <c r="Q29" s="1158" t="str">
        <f t="shared" si="11"/>
        <v>建筑类型</v>
      </c>
      <c r="R29" s="518" t="s">
        <v>17</v>
      </c>
      <c r="S29" s="519">
        <f t="shared" si="12"/>
        <v>100</v>
      </c>
      <c r="T29" s="518" t="s">
        <v>17</v>
      </c>
      <c r="U29" s="519">
        <f t="shared" si="13"/>
        <v>100</v>
      </c>
      <c r="V29" s="518" t="s">
        <v>17</v>
      </c>
      <c r="W29" s="519">
        <f t="shared" si="14"/>
        <v>100</v>
      </c>
      <c r="X29" s="1161"/>
      <c r="Y29" s="3837"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37"/>
      <c r="Q30" s="520" t="str">
        <f t="shared" si="11"/>
        <v>项目建筑规模</v>
      </c>
      <c r="R30" s="521" t="s">
        <v>17</v>
      </c>
      <c r="S30" s="522" t="e">
        <f t="shared" si="12"/>
        <v>#N/A</v>
      </c>
      <c r="T30" s="521" t="s">
        <v>17</v>
      </c>
      <c r="U30" s="522" t="e">
        <f t="shared" si="13"/>
        <v>#N/A</v>
      </c>
      <c r="V30" s="521" t="s">
        <v>17</v>
      </c>
      <c r="W30" s="522" t="e">
        <f t="shared" si="14"/>
        <v>#N/A</v>
      </c>
      <c r="X30" s="523"/>
      <c r="Y30" s="3837"/>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37"/>
      <c r="Q31" s="1158" t="str">
        <f t="shared" si="11"/>
        <v>建筑结构</v>
      </c>
      <c r="R31" s="518" t="s">
        <v>17</v>
      </c>
      <c r="S31" s="519">
        <f t="shared" si="12"/>
        <v>100</v>
      </c>
      <c r="T31" s="518" t="s">
        <v>17</v>
      </c>
      <c r="U31" s="519">
        <f t="shared" si="13"/>
        <v>100</v>
      </c>
      <c r="V31" s="518" t="s">
        <v>17</v>
      </c>
      <c r="W31" s="519">
        <f t="shared" si="14"/>
        <v>100</v>
      </c>
      <c r="X31" s="1161"/>
      <c r="Y31" s="3837"/>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37"/>
      <c r="Q32" s="1158" t="str">
        <f t="shared" si="11"/>
        <v>公共部分装修</v>
      </c>
      <c r="R32" s="518" t="s">
        <v>17</v>
      </c>
      <c r="S32" s="519">
        <f t="shared" si="12"/>
        <v>100</v>
      </c>
      <c r="T32" s="518" t="s">
        <v>17</v>
      </c>
      <c r="U32" s="519">
        <f t="shared" si="13"/>
        <v>100</v>
      </c>
      <c r="V32" s="518" t="s">
        <v>17</v>
      </c>
      <c r="W32" s="519">
        <f t="shared" si="14"/>
        <v>100</v>
      </c>
      <c r="X32" s="1161"/>
      <c r="Y32" s="3837"/>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37"/>
      <c r="Q33" s="1158" t="str">
        <f t="shared" si="11"/>
        <v>成新度</v>
      </c>
      <c r="R33" s="518" t="s">
        <v>17</v>
      </c>
      <c r="S33" s="519" t="e">
        <f t="shared" si="12"/>
        <v>#N/A</v>
      </c>
      <c r="T33" s="518" t="s">
        <v>17</v>
      </c>
      <c r="U33" s="519" t="e">
        <f t="shared" si="13"/>
        <v>#N/A</v>
      </c>
      <c r="V33" s="518" t="s">
        <v>17</v>
      </c>
      <c r="W33" s="519" t="e">
        <f t="shared" si="14"/>
        <v>#N/A</v>
      </c>
      <c r="X33" s="1161"/>
      <c r="Y33" s="3837"/>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37"/>
      <c r="Q34" s="1150" t="str">
        <f t="shared" si="11"/>
        <v>物业管理</v>
      </c>
      <c r="R34" s="514" t="s">
        <v>17</v>
      </c>
      <c r="S34" s="515">
        <f t="shared" si="12"/>
        <v>100</v>
      </c>
      <c r="T34" s="514" t="s">
        <v>17</v>
      </c>
      <c r="U34" s="515">
        <f t="shared" si="13"/>
        <v>100</v>
      </c>
      <c r="V34" s="514" t="s">
        <v>17</v>
      </c>
      <c r="W34" s="515">
        <f t="shared" si="14"/>
        <v>100</v>
      </c>
      <c r="X34" s="516"/>
      <c r="Y34" s="3837"/>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37" t="s">
        <v>2143</v>
      </c>
      <c r="Q35" s="1158" t="str">
        <f t="shared" si="11"/>
        <v>市政基础设施</v>
      </c>
      <c r="R35" s="518" t="s">
        <v>17</v>
      </c>
      <c r="S35" s="519">
        <f t="shared" si="12"/>
        <v>100</v>
      </c>
      <c r="T35" s="518" t="s">
        <v>17</v>
      </c>
      <c r="U35" s="519">
        <f t="shared" si="13"/>
        <v>100</v>
      </c>
      <c r="V35" s="518" t="s">
        <v>17</v>
      </c>
      <c r="W35" s="519">
        <f t="shared" si="14"/>
        <v>100</v>
      </c>
      <c r="X35" s="1161"/>
      <c r="Y35" s="3837"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37"/>
      <c r="Q36" s="1158" t="str">
        <f t="shared" si="11"/>
        <v>内部装修</v>
      </c>
      <c r="R36" s="518" t="s">
        <v>17</v>
      </c>
      <c r="S36" s="519">
        <f t="shared" si="12"/>
        <v>100</v>
      </c>
      <c r="T36" s="518" t="s">
        <v>17</v>
      </c>
      <c r="U36" s="519">
        <f t="shared" si="13"/>
        <v>100</v>
      </c>
      <c r="V36" s="518" t="s">
        <v>17</v>
      </c>
      <c r="W36" s="519">
        <f t="shared" si="14"/>
        <v>100</v>
      </c>
      <c r="X36" s="1161"/>
      <c r="Y36" s="3837"/>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37"/>
      <c r="Q37" s="1158" t="str">
        <f t="shared" si="11"/>
        <v>内部装修状况</v>
      </c>
      <c r="R37" s="518" t="s">
        <v>17</v>
      </c>
      <c r="S37" s="519">
        <f t="shared" si="12"/>
        <v>100</v>
      </c>
      <c r="T37" s="518" t="s">
        <v>17</v>
      </c>
      <c r="U37" s="519">
        <f t="shared" si="13"/>
        <v>100</v>
      </c>
      <c r="V37" s="518" t="s">
        <v>17</v>
      </c>
      <c r="W37" s="519">
        <f t="shared" si="14"/>
        <v>100</v>
      </c>
      <c r="X37" s="1161"/>
      <c r="Y37" s="3837"/>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37"/>
      <c r="Q38" s="520">
        <f t="shared" si="11"/>
        <v>111</v>
      </c>
      <c r="R38" s="521" t="s">
        <v>17</v>
      </c>
      <c r="S38" s="522">
        <f t="shared" si="12"/>
        <v>100</v>
      </c>
      <c r="T38" s="521" t="s">
        <v>17</v>
      </c>
      <c r="U38" s="522">
        <f t="shared" si="13"/>
        <v>100</v>
      </c>
      <c r="V38" s="521" t="s">
        <v>17</v>
      </c>
      <c r="W38" s="522">
        <f t="shared" si="14"/>
        <v>100</v>
      </c>
      <c r="X38" s="523"/>
      <c r="Y38" s="3837"/>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37"/>
      <c r="Q39" s="1158">
        <f t="shared" si="11"/>
        <v>111</v>
      </c>
      <c r="R39" s="518" t="s">
        <v>17</v>
      </c>
      <c r="S39" s="519">
        <f t="shared" si="12"/>
        <v>100</v>
      </c>
      <c r="T39" s="518" t="s">
        <v>17</v>
      </c>
      <c r="U39" s="519">
        <f t="shared" si="13"/>
        <v>100</v>
      </c>
      <c r="V39" s="518" t="s">
        <v>17</v>
      </c>
      <c r="W39" s="519">
        <f t="shared" si="14"/>
        <v>100</v>
      </c>
      <c r="X39" s="1161"/>
      <c r="Y39" s="3837"/>
      <c r="Z39" s="1162">
        <f t="shared" si="15"/>
        <v>111</v>
      </c>
      <c r="AA39" s="1159">
        <f t="shared" si="3"/>
        <v>1</v>
      </c>
      <c r="AB39" s="1159">
        <f t="shared" si="4"/>
        <v>1</v>
      </c>
      <c r="AC39" s="1159">
        <f t="shared" si="5"/>
        <v>1</v>
      </c>
    </row>
    <row r="40" spans="1:29" ht="15.6"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24"/>
      <c r="Q40" s="1158">
        <f t="shared" si="11"/>
        <v>111</v>
      </c>
      <c r="R40" s="518" t="s">
        <v>17</v>
      </c>
      <c r="S40" s="519">
        <f t="shared" si="12"/>
        <v>100</v>
      </c>
      <c r="T40" s="518" t="s">
        <v>17</v>
      </c>
      <c r="U40" s="519">
        <f t="shared" si="13"/>
        <v>100</v>
      </c>
      <c r="V40" s="518" t="s">
        <v>17</v>
      </c>
      <c r="W40" s="519">
        <f t="shared" si="14"/>
        <v>100</v>
      </c>
      <c r="X40" s="1161"/>
      <c r="Y40" s="3924"/>
      <c r="Z40" s="1162">
        <f t="shared" si="15"/>
        <v>111</v>
      </c>
      <c r="AA40" s="1159">
        <f t="shared" si="3"/>
        <v>1</v>
      </c>
      <c r="AB40" s="1159">
        <f t="shared" si="4"/>
        <v>1</v>
      </c>
      <c r="AC40" s="1159">
        <f t="shared" si="5"/>
        <v>1</v>
      </c>
    </row>
    <row r="41" spans="1:29" ht="14.4">
      <c r="A41" s="288" t="s">
        <v>2155</v>
      </c>
      <c r="B41" s="289"/>
      <c r="C41" s="965" t="s">
        <v>1</v>
      </c>
      <c r="D41" s="966"/>
      <c r="E41" s="967"/>
      <c r="F41" s="968"/>
      <c r="G41" s="969"/>
      <c r="H41" s="970"/>
      <c r="I41" s="967"/>
      <c r="J41" s="970"/>
      <c r="K41" s="527"/>
      <c r="L41" s="778"/>
      <c r="M41" s="779"/>
      <c r="N41" s="766"/>
      <c r="O41" s="779"/>
      <c r="P41" s="3818" t="str">
        <f>A41</f>
        <v>成交单价（元/平方米）</v>
      </c>
      <c r="Q41" s="3818"/>
      <c r="R41" s="3925">
        <f>E41</f>
        <v>0</v>
      </c>
      <c r="S41" s="3925"/>
      <c r="T41" s="3925">
        <f>G41</f>
        <v>0</v>
      </c>
      <c r="U41" s="3925"/>
      <c r="V41" s="3925">
        <f>I41</f>
        <v>0</v>
      </c>
      <c r="W41" s="3925"/>
      <c r="X41" s="503"/>
      <c r="Y41" s="525"/>
      <c r="Z41" s="503"/>
      <c r="AA41" s="503"/>
      <c r="AB41" s="503"/>
      <c r="AC41" s="503"/>
    </row>
    <row r="42" spans="1:29" ht="1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18" t="str">
        <f>A42</f>
        <v>比较价值（元/平方米）</v>
      </c>
      <c r="Q42" s="3818"/>
      <c r="R42" s="3925" t="e">
        <f>IF(F1="售价",ROUND(PRODUCT(R41,AA7:AA40),0),ROUND(PRODUCT(R41,AA7:AA40),1))</f>
        <v>#DIV/0!</v>
      </c>
      <c r="S42" s="3925"/>
      <c r="T42" s="3925" t="e">
        <f>IF(F1="售价",ROUND(PRODUCT(T41,AB7:AB40),0),ROUND(PRODUCT(T41,AB7:AB40),1))</f>
        <v>#DIV/0!</v>
      </c>
      <c r="U42" s="3925"/>
      <c r="V42" s="3925" t="e">
        <f>IF(F1="售价",ROUND(PRODUCT(V41,AC7:AC40),0),ROUND(PRODUCT(V41,AC7:AC40),1))</f>
        <v>#DIV/0!</v>
      </c>
      <c r="W42" s="3925"/>
      <c r="X42" s="503"/>
      <c r="Y42" s="503"/>
      <c r="Z42" s="503"/>
      <c r="AA42" s="503"/>
      <c r="AB42" s="503"/>
      <c r="AC42" s="503"/>
    </row>
    <row r="43" spans="1:29" ht="15" thickBot="1">
      <c r="A43" s="299" t="s">
        <v>2248</v>
      </c>
      <c r="B43" s="300"/>
      <c r="C43" s="973" t="e">
        <f>R43</f>
        <v>#DIV/0!</v>
      </c>
      <c r="D43" s="973"/>
      <c r="E43" s="973"/>
      <c r="F43" s="973"/>
      <c r="G43" s="973"/>
      <c r="H43" s="973"/>
      <c r="I43" s="973"/>
      <c r="J43" s="973"/>
      <c r="K43" s="528"/>
      <c r="L43" s="778"/>
      <c r="M43" s="779"/>
      <c r="N43" s="779"/>
      <c r="O43" s="779"/>
      <c r="P43" s="3840" t="str">
        <f>A43</f>
        <v>估价对象XX用房的比较价值（楼面单价，元/平方米）</v>
      </c>
      <c r="Q43" s="3841"/>
      <c r="R43" s="3926" t="e">
        <f>IF(F1="售价",ROUND(IF(D42="简单平均",AVERAGE(R42:V42),R42*F42+T42*H42+V42*J42),0),ROUND(IF(D42="简单平均",AVERAGE(R42:V42),R42*F42+T42*H42+V42*J42),1))</f>
        <v>#DIV/0!</v>
      </c>
      <c r="S43" s="3926"/>
      <c r="T43" s="3926"/>
      <c r="U43" s="3926"/>
      <c r="V43" s="3926"/>
      <c r="W43" s="3926"/>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2.2" thickBot="1">
      <c r="A51" s="507" t="s">
        <v>2252</v>
      </c>
      <c r="B51" s="503"/>
      <c r="C51" s="508"/>
      <c r="D51" s="508"/>
      <c r="E51" s="508"/>
      <c r="F51" s="509"/>
      <c r="G51" s="509"/>
      <c r="H51" s="508"/>
      <c r="I51" s="508"/>
      <c r="J51" s="508"/>
      <c r="K51" s="790"/>
      <c r="L51" s="791"/>
      <c r="M51" s="789"/>
      <c r="N51" s="789"/>
      <c r="O51" s="789"/>
      <c r="P51" s="310"/>
      <c r="Q51" s="311"/>
    </row>
    <row r="52" spans="1:17" s="315" customFormat="1" ht="14.4">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c r="A53" s="316"/>
      <c r="B53" s="317"/>
      <c r="C53" s="984">
        <v>100</v>
      </c>
      <c r="D53" s="319"/>
      <c r="E53" s="319"/>
      <c r="F53" s="319"/>
      <c r="G53" s="319"/>
      <c r="H53" s="319"/>
      <c r="I53" s="319"/>
      <c r="J53" s="319"/>
      <c r="K53" s="319"/>
      <c r="L53" s="319"/>
      <c r="M53" s="320"/>
      <c r="N53" s="319"/>
      <c r="O53" s="321"/>
      <c r="P53" s="311"/>
    </row>
    <row r="54" spans="1:17" s="50" customFormat="1" ht="15" thickBot="1">
      <c r="A54" s="322" t="s">
        <v>2163</v>
      </c>
      <c r="B54" s="323"/>
      <c r="C54" s="324"/>
      <c r="D54" s="325"/>
      <c r="E54" s="325"/>
      <c r="F54" s="325"/>
      <c r="G54" s="325"/>
      <c r="H54" s="325"/>
      <c r="I54" s="325"/>
      <c r="J54" s="325"/>
      <c r="K54" s="325"/>
      <c r="L54" s="325"/>
      <c r="M54" s="326"/>
      <c r="N54" s="2156"/>
      <c r="O54" s="2157"/>
      <c r="P54" s="311"/>
      <c r="Q54" s="311"/>
    </row>
    <row r="55" spans="1:17" s="50" customFormat="1" ht="14.4">
      <c r="A55" s="328" t="s">
        <v>2128</v>
      </c>
      <c r="B55" s="317"/>
      <c r="C55" s="329" t="s">
        <v>2230</v>
      </c>
      <c r="D55" s="330"/>
      <c r="E55" s="330"/>
      <c r="F55" s="330"/>
      <c r="G55" s="330"/>
      <c r="H55" s="330"/>
      <c r="I55" s="330"/>
      <c r="J55" s="330"/>
      <c r="K55" s="330"/>
      <c r="L55" s="331"/>
      <c r="M55" s="332"/>
      <c r="N55" s="784"/>
      <c r="O55" s="784"/>
      <c r="P55" s="333"/>
      <c r="Q55" s="311"/>
    </row>
    <row r="56" spans="1:17" s="50" customFormat="1" ht="14.4" thickBot="1">
      <c r="A56" s="328"/>
      <c r="B56" s="317"/>
      <c r="C56" s="440">
        <v>100</v>
      </c>
      <c r="D56" s="319"/>
      <c r="E56" s="319"/>
      <c r="F56" s="319"/>
      <c r="G56" s="319"/>
      <c r="H56" s="319"/>
      <c r="I56" s="319"/>
      <c r="J56" s="319"/>
      <c r="K56" s="319"/>
      <c r="L56" s="319"/>
      <c r="M56" s="321"/>
      <c r="N56" s="784"/>
      <c r="O56" s="784"/>
      <c r="P56" s="311"/>
      <c r="Q56" s="311"/>
    </row>
    <row r="57" spans="1:17" ht="14.4">
      <c r="A57" s="334" t="s">
        <v>2166</v>
      </c>
      <c r="B57" s="335" t="s">
        <v>2132</v>
      </c>
      <c r="C57" s="336">
        <f>C9</f>
        <v>0</v>
      </c>
      <c r="D57" s="337"/>
      <c r="E57" s="337"/>
      <c r="F57" s="337"/>
      <c r="G57" s="337"/>
      <c r="H57" s="337"/>
      <c r="I57" s="337"/>
      <c r="J57" s="337"/>
      <c r="K57" s="338"/>
      <c r="L57" s="339"/>
      <c r="M57" s="340"/>
      <c r="N57" s="785"/>
      <c r="O57" s="785"/>
      <c r="P57" s="45"/>
      <c r="Q57" s="311"/>
    </row>
    <row r="58" spans="1:17" ht="14.4" thickBot="1">
      <c r="A58" s="341"/>
      <c r="B58" s="342"/>
      <c r="C58" s="343">
        <v>100</v>
      </c>
      <c r="D58" s="343"/>
      <c r="E58" s="343"/>
      <c r="F58" s="343"/>
      <c r="G58" s="343"/>
      <c r="H58" s="343"/>
      <c r="I58" s="343"/>
      <c r="J58" s="343"/>
      <c r="K58" s="343"/>
      <c r="L58" s="343"/>
      <c r="M58" s="344"/>
      <c r="N58" s="786"/>
      <c r="O58" s="786"/>
      <c r="P58" s="45"/>
      <c r="Q58" s="311"/>
    </row>
    <row r="59" spans="1:17" ht="29.4"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4.4"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c r="A62" s="341"/>
      <c r="B62" s="355"/>
      <c r="C62" s="356"/>
      <c r="D62" s="356"/>
      <c r="E62" s="356"/>
      <c r="F62" s="356"/>
      <c r="G62" s="356"/>
      <c r="H62" s="356"/>
      <c r="I62" s="356"/>
      <c r="J62" s="356"/>
      <c r="K62" s="357"/>
      <c r="L62" s="358"/>
      <c r="M62" s="359"/>
      <c r="N62" s="785"/>
      <c r="O62" s="785"/>
      <c r="P62" s="45"/>
      <c r="Q62" s="311"/>
    </row>
    <row r="63" spans="1:17" ht="14.4"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4.4" thickTop="1">
      <c r="A64" s="360"/>
      <c r="B64" s="345">
        <f>B12</f>
        <v>111</v>
      </c>
      <c r="C64" s="361"/>
      <c r="D64" s="361"/>
      <c r="E64" s="361"/>
      <c r="F64" s="361"/>
      <c r="G64" s="361"/>
      <c r="H64" s="362"/>
      <c r="I64" s="362"/>
      <c r="J64" s="362"/>
      <c r="K64" s="362"/>
      <c r="L64" s="363"/>
      <c r="M64" s="364"/>
      <c r="N64" s="787"/>
      <c r="O64" s="787"/>
      <c r="P64" s="365"/>
      <c r="Q64" s="366"/>
    </row>
    <row r="65" spans="1:17" s="282" customFormat="1" ht="14.4" thickBot="1">
      <c r="A65" s="360"/>
      <c r="B65" s="350"/>
      <c r="C65" s="367"/>
      <c r="D65" s="343"/>
      <c r="E65" s="343"/>
      <c r="F65" s="343"/>
      <c r="G65" s="343"/>
      <c r="H65" s="343"/>
      <c r="I65" s="343"/>
      <c r="J65" s="343"/>
      <c r="K65" s="343"/>
      <c r="L65" s="343"/>
      <c r="M65" s="344"/>
      <c r="N65" s="786"/>
      <c r="O65" s="786"/>
      <c r="P65" s="365"/>
      <c r="Q65" s="366"/>
    </row>
    <row r="66" spans="1:17" s="282" customFormat="1" ht="14.4" thickTop="1">
      <c r="A66" s="360"/>
      <c r="B66" s="345">
        <f>B13</f>
        <v>111</v>
      </c>
      <c r="C66" s="361"/>
      <c r="D66" s="361"/>
      <c r="E66" s="361"/>
      <c r="F66" s="361"/>
      <c r="G66" s="361"/>
      <c r="H66" s="362"/>
      <c r="I66" s="362"/>
      <c r="J66" s="362"/>
      <c r="K66" s="362"/>
      <c r="L66" s="363"/>
      <c r="M66" s="364"/>
      <c r="N66" s="787"/>
      <c r="O66" s="787"/>
      <c r="P66" s="281"/>
      <c r="Q66" s="368"/>
    </row>
    <row r="67" spans="1:17" s="282" customFormat="1" ht="14.4" thickBot="1">
      <c r="A67" s="360"/>
      <c r="B67" s="350"/>
      <c r="C67" s="367"/>
      <c r="D67" s="343"/>
      <c r="E67" s="343"/>
      <c r="F67" s="343"/>
      <c r="G67" s="367"/>
      <c r="H67" s="369"/>
      <c r="I67" s="369"/>
      <c r="J67" s="369"/>
      <c r="K67" s="369"/>
      <c r="L67" s="369"/>
      <c r="M67" s="370"/>
      <c r="N67" s="787"/>
      <c r="O67" s="787"/>
      <c r="P67" s="365"/>
      <c r="Q67" s="366"/>
    </row>
    <row r="68" spans="1:17" s="282" customFormat="1" ht="14.4" thickTop="1">
      <c r="A68" s="360"/>
      <c r="B68" s="353">
        <f>B14</f>
        <v>111</v>
      </c>
      <c r="C68" s="330"/>
      <c r="D68" s="330"/>
      <c r="E68" s="330"/>
      <c r="F68" s="330"/>
      <c r="G68" s="330"/>
      <c r="H68" s="371"/>
      <c r="I68" s="371"/>
      <c r="J68" s="371"/>
      <c r="K68" s="371"/>
      <c r="L68" s="372"/>
      <c r="M68" s="373"/>
      <c r="N68" s="787"/>
      <c r="O68" s="787"/>
      <c r="P68" s="374"/>
      <c r="Q68" s="366"/>
    </row>
    <row r="69" spans="1:17" s="282" customFormat="1" ht="14.4" thickBot="1">
      <c r="A69" s="375"/>
      <c r="B69" s="376"/>
      <c r="C69" s="377"/>
      <c r="D69" s="377"/>
      <c r="E69" s="377"/>
      <c r="F69" s="377"/>
      <c r="G69" s="377"/>
      <c r="H69" s="378"/>
      <c r="I69" s="378"/>
      <c r="J69" s="378"/>
      <c r="K69" s="378"/>
      <c r="L69" s="378"/>
      <c r="M69" s="379"/>
      <c r="N69" s="787"/>
      <c r="O69" s="787"/>
      <c r="P69" s="365"/>
      <c r="Q69" s="366"/>
    </row>
    <row r="70" spans="1:17" ht="14.4">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4.4"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4.4"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4.4"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4.4"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4.4"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4.4" thickTop="1">
      <c r="A80" s="386"/>
      <c r="B80" s="345">
        <f>B25</f>
        <v>111</v>
      </c>
      <c r="C80" s="361"/>
      <c r="D80" s="361"/>
      <c r="E80" s="361"/>
      <c r="F80" s="361"/>
      <c r="G80" s="361"/>
      <c r="H80" s="361"/>
      <c r="I80" s="361"/>
      <c r="J80" s="361"/>
      <c r="K80" s="361"/>
      <c r="L80" s="387"/>
      <c r="M80" s="388"/>
      <c r="N80" s="784"/>
      <c r="O80" s="784"/>
      <c r="P80" s="45"/>
      <c r="Q80" s="311"/>
    </row>
    <row r="81" spans="1:17" s="50" customFormat="1" ht="14.4" thickBot="1">
      <c r="A81" s="386"/>
      <c r="B81" s="350"/>
      <c r="C81" s="367"/>
      <c r="D81" s="343"/>
      <c r="E81" s="343"/>
      <c r="F81" s="343"/>
      <c r="G81" s="343"/>
      <c r="H81" s="343"/>
      <c r="I81" s="343"/>
      <c r="J81" s="343"/>
      <c r="K81" s="343"/>
      <c r="L81" s="343"/>
      <c r="M81" s="344"/>
      <c r="N81" s="786"/>
      <c r="O81" s="786"/>
      <c r="P81" s="45"/>
      <c r="Q81" s="311"/>
    </row>
    <row r="82" spans="1:17" s="50" customFormat="1" ht="14.4" thickTop="1">
      <c r="A82" s="386"/>
      <c r="B82" s="345">
        <f>B26</f>
        <v>111</v>
      </c>
      <c r="C82" s="361"/>
      <c r="D82" s="361"/>
      <c r="E82" s="361"/>
      <c r="F82" s="361"/>
      <c r="G82" s="361"/>
      <c r="H82" s="361"/>
      <c r="I82" s="361"/>
      <c r="J82" s="361"/>
      <c r="K82" s="361"/>
      <c r="L82" s="387"/>
      <c r="M82" s="388"/>
      <c r="N82" s="784"/>
      <c r="O82" s="784"/>
      <c r="P82" s="45"/>
      <c r="Q82" s="311"/>
    </row>
    <row r="83" spans="1:17" s="50" customFormat="1" ht="14.4" thickBot="1">
      <c r="A83" s="386"/>
      <c r="B83" s="350"/>
      <c r="C83" s="367"/>
      <c r="D83" s="343"/>
      <c r="E83" s="343"/>
      <c r="F83" s="343"/>
      <c r="G83" s="343"/>
      <c r="H83" s="343"/>
      <c r="I83" s="343"/>
      <c r="J83" s="343"/>
      <c r="K83" s="343"/>
      <c r="L83" s="343"/>
      <c r="M83" s="344"/>
      <c r="N83" s="786"/>
      <c r="O83" s="786"/>
      <c r="P83" s="45"/>
      <c r="Q83" s="311"/>
    </row>
    <row r="84" spans="1:17" s="282" customFormat="1" ht="14.4" thickTop="1">
      <c r="A84" s="360"/>
      <c r="B84" s="345">
        <f>B27</f>
        <v>111</v>
      </c>
      <c r="C84" s="361"/>
      <c r="D84" s="361"/>
      <c r="E84" s="361"/>
      <c r="F84" s="361"/>
      <c r="G84" s="361"/>
      <c r="H84" s="361"/>
      <c r="I84" s="361"/>
      <c r="J84" s="361"/>
      <c r="K84" s="361"/>
      <c r="L84" s="387"/>
      <c r="M84" s="388"/>
      <c r="N84" s="787"/>
      <c r="O84" s="787"/>
      <c r="P84" s="365"/>
      <c r="Q84" s="366"/>
    </row>
    <row r="85" spans="1:17" s="282" customFormat="1" ht="14.4" thickBot="1">
      <c r="A85" s="360"/>
      <c r="B85" s="350"/>
      <c r="C85" s="367"/>
      <c r="D85" s="343"/>
      <c r="E85" s="343"/>
      <c r="F85" s="343"/>
      <c r="G85" s="343"/>
      <c r="H85" s="343"/>
      <c r="I85" s="343"/>
      <c r="J85" s="343"/>
      <c r="K85" s="343"/>
      <c r="L85" s="343"/>
      <c r="M85" s="344"/>
      <c r="N85" s="787"/>
      <c r="O85" s="787"/>
      <c r="P85" s="365"/>
      <c r="Q85" s="366"/>
    </row>
    <row r="86" spans="1:17" ht="14.4" thickTop="1">
      <c r="A86" s="341"/>
      <c r="B86" s="353">
        <f>B28</f>
        <v>111</v>
      </c>
      <c r="C86" s="330"/>
      <c r="D86" s="330"/>
      <c r="E86" s="330"/>
      <c r="F86" s="330"/>
      <c r="G86" s="394"/>
      <c r="H86" s="394"/>
      <c r="I86" s="394"/>
      <c r="J86" s="394"/>
      <c r="K86" s="395"/>
      <c r="L86" s="396"/>
      <c r="M86" s="397"/>
      <c r="N86" s="785"/>
      <c r="O86" s="785"/>
      <c r="P86" s="45"/>
      <c r="Q86" s="311"/>
    </row>
    <row r="87" spans="1:17" ht="14.4" thickBot="1">
      <c r="A87" s="1492"/>
      <c r="B87" s="376"/>
      <c r="C87" s="377"/>
      <c r="D87" s="377"/>
      <c r="E87" s="377"/>
      <c r="F87" s="377"/>
      <c r="G87" s="398"/>
      <c r="H87" s="398"/>
      <c r="I87" s="398"/>
      <c r="J87" s="398"/>
      <c r="K87" s="398"/>
      <c r="L87" s="398"/>
      <c r="M87" s="399"/>
      <c r="N87" s="786"/>
      <c r="O87" s="786"/>
      <c r="P87" s="45"/>
      <c r="Q87" s="311"/>
    </row>
    <row r="88" spans="1:17" ht="14.4">
      <c r="A88" s="334" t="s">
        <v>2141</v>
      </c>
      <c r="B88" s="335" t="s">
        <v>2190</v>
      </c>
      <c r="C88" s="337"/>
      <c r="D88" s="337"/>
      <c r="E88" s="337"/>
      <c r="F88" s="337"/>
      <c r="G88" s="337"/>
      <c r="H88" s="337"/>
      <c r="I88" s="337"/>
      <c r="J88" s="337"/>
      <c r="K88" s="338"/>
      <c r="L88" s="339"/>
      <c r="M88" s="340"/>
      <c r="N88" s="785"/>
      <c r="O88" s="785"/>
      <c r="P88" s="45"/>
      <c r="Q88" s="311"/>
    </row>
    <row r="89" spans="1:17" ht="14.4"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4.4"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4.4"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4.4"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4.4"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4.4"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4.4"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4.4"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29.4"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4.4"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4.4"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4.4" thickBot="1">
      <c r="A109" s="360"/>
      <c r="B109" s="342"/>
      <c r="C109" s="367"/>
      <c r="D109" s="343"/>
      <c r="E109" s="343"/>
      <c r="F109" s="343"/>
      <c r="G109" s="367"/>
      <c r="H109" s="369"/>
      <c r="I109" s="369"/>
      <c r="J109" s="369"/>
      <c r="K109" s="369"/>
      <c r="L109" s="369"/>
      <c r="M109" s="370"/>
      <c r="N109" s="787"/>
      <c r="O109" s="787"/>
      <c r="P109" s="365"/>
      <c r="Q109" s="366"/>
    </row>
    <row r="110" spans="1:17" ht="14.4" thickTop="1">
      <c r="A110" s="406"/>
      <c r="B110" s="345">
        <f>B39</f>
        <v>111</v>
      </c>
      <c r="C110" s="361"/>
      <c r="D110" s="361"/>
      <c r="E110" s="361"/>
      <c r="F110" s="361"/>
      <c r="G110" s="361"/>
      <c r="H110" s="362"/>
      <c r="I110" s="362"/>
      <c r="J110" s="362"/>
      <c r="K110" s="362"/>
      <c r="L110" s="363"/>
      <c r="M110" s="364"/>
      <c r="N110" s="785"/>
      <c r="O110" s="785"/>
      <c r="P110" s="45"/>
      <c r="Q110" s="311"/>
    </row>
    <row r="111" spans="1:17" ht="14.4" thickBot="1">
      <c r="A111" s="341"/>
      <c r="B111" s="350"/>
      <c r="C111" s="367"/>
      <c r="D111" s="343"/>
      <c r="E111" s="343"/>
      <c r="F111" s="343"/>
      <c r="G111" s="367"/>
      <c r="H111" s="369"/>
      <c r="I111" s="369"/>
      <c r="J111" s="369"/>
      <c r="K111" s="369"/>
      <c r="L111" s="369"/>
      <c r="M111" s="370"/>
      <c r="N111" s="786"/>
      <c r="O111" s="786"/>
      <c r="P111" s="45"/>
      <c r="Q111" s="311"/>
    </row>
    <row r="112" spans="1:17" ht="14.4" thickTop="1">
      <c r="A112" s="406"/>
      <c r="B112" s="353">
        <f>B40</f>
        <v>111</v>
      </c>
      <c r="C112" s="330"/>
      <c r="D112" s="330"/>
      <c r="E112" s="330"/>
      <c r="F112" s="330"/>
      <c r="G112" s="394"/>
      <c r="H112" s="394"/>
      <c r="I112" s="394"/>
      <c r="J112" s="394"/>
      <c r="K112" s="330"/>
      <c r="L112" s="331"/>
      <c r="M112" s="397"/>
      <c r="N112" s="785"/>
      <c r="O112" s="785"/>
      <c r="P112" s="45"/>
      <c r="Q112" s="311"/>
    </row>
    <row r="113" spans="1:17" ht="14.4"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I5" sqref="I5:J5"/>
    </sheetView>
  </sheetViews>
  <sheetFormatPr defaultColWidth="9" defaultRowHeight="13.8"/>
  <cols>
    <col min="1" max="1" width="10.44140625" style="2693" customWidth="1"/>
    <col min="2" max="2" width="15.77734375" style="2693" customWidth="1"/>
    <col min="3" max="3" width="14.33203125" style="2693" customWidth="1"/>
    <col min="4" max="4" width="12.21875" style="2693" customWidth="1"/>
    <col min="5" max="5" width="14.33203125" style="2693" customWidth="1"/>
    <col min="6" max="6" width="12.21875" style="2693" customWidth="1"/>
    <col min="7" max="7" width="14.44140625" style="2693" customWidth="1"/>
    <col min="8" max="8" width="12.21875" style="2693" customWidth="1"/>
    <col min="9" max="9" width="14.44140625" style="2693" customWidth="1"/>
    <col min="10" max="15" width="12.21875" style="2693" customWidth="1"/>
    <col min="16" max="16" width="4.77734375" style="2693" customWidth="1"/>
    <col min="17" max="17" width="19.44140625" style="2693" customWidth="1"/>
    <col min="18" max="22" width="6.109375" style="2693" customWidth="1"/>
    <col min="23" max="23" width="5.77734375" style="2693" customWidth="1"/>
    <col min="24" max="24" width="4.21875" style="2693" customWidth="1"/>
    <col min="25" max="25" width="3.44140625" style="2693" customWidth="1"/>
    <col min="26" max="26" width="19.77734375" style="2693" customWidth="1"/>
    <col min="27" max="28" width="9.33203125" style="2693" customWidth="1"/>
    <col min="29" max="16384" width="9" style="2693"/>
  </cols>
  <sheetData>
    <row r="1" spans="1:29" s="2705" customFormat="1" ht="28.5" customHeight="1" thickBot="1">
      <c r="A1" s="2694" t="s">
        <v>2285</v>
      </c>
      <c r="B1" s="3441" t="s">
        <v>3183</v>
      </c>
      <c r="C1" s="2703" t="s">
        <v>2108</v>
      </c>
      <c r="D1" s="2697" t="s">
        <v>3559</v>
      </c>
      <c r="E1" s="2701"/>
      <c r="F1" s="2699" t="s">
        <v>3560</v>
      </c>
      <c r="G1" s="2700" t="s">
        <v>2221</v>
      </c>
      <c r="H1" s="2701"/>
      <c r="I1" s="2701"/>
      <c r="J1" s="2701"/>
      <c r="K1" s="2696"/>
      <c r="L1" s="2701"/>
      <c r="M1" s="2696"/>
      <c r="N1" s="2696"/>
      <c r="O1" s="2696"/>
      <c r="P1" s="2703"/>
      <c r="Q1" s="2703"/>
      <c r="R1" s="2703"/>
      <c r="S1" s="2703"/>
      <c r="T1" s="2703"/>
      <c r="U1" s="2703"/>
      <c r="V1" s="2703"/>
      <c r="W1" s="2703"/>
      <c r="X1" s="2703"/>
      <c r="Y1" s="2703"/>
      <c r="Z1" s="2703"/>
      <c r="AA1" s="2703"/>
      <c r="AB1" s="2703"/>
      <c r="AC1" s="2704"/>
    </row>
    <row r="2" spans="1:29" s="3446" customFormat="1" ht="28.5" customHeight="1" thickTop="1">
      <c r="A2" s="2706" t="s">
        <v>1908</v>
      </c>
      <c r="B2" s="2707">
        <f>IF(C2="——",ROUND(C37*D3/10000,0),ROUND(C37*D3/10000,0)-D2)</f>
        <v>92957</v>
      </c>
      <c r="C2" s="2708" t="s">
        <v>70</v>
      </c>
      <c r="D2" s="2528" t="e">
        <f ca="1">SUMIF(INDIRECT("'"&amp;F2&amp;"'"&amp;"!A:A"),"承租人权益价值",INDIRECT("'"&amp;F2&amp;"'"&amp;"!c:c"))</f>
        <v>#REF!</v>
      </c>
      <c r="E2" s="2710" t="s">
        <v>1909</v>
      </c>
      <c r="F2" s="2711"/>
      <c r="G2" s="2529"/>
      <c r="H2" s="2529"/>
      <c r="I2" s="2529"/>
      <c r="J2" s="2529"/>
      <c r="K2" s="2531"/>
      <c r="L2" s="3442"/>
      <c r="M2" s="3443"/>
      <c r="N2" s="3443"/>
      <c r="O2" s="3443"/>
      <c r="P2" s="3444"/>
      <c r="Q2" s="3444"/>
      <c r="R2" s="3444"/>
      <c r="S2" s="3444"/>
      <c r="T2" s="3444"/>
      <c r="U2" s="3444"/>
      <c r="V2" s="3444"/>
      <c r="W2" s="3444"/>
      <c r="X2" s="3444"/>
      <c r="Y2" s="3444"/>
      <c r="Z2" s="3444"/>
      <c r="AA2" s="3444"/>
      <c r="AB2" s="3444"/>
      <c r="AC2" s="3445"/>
    </row>
    <row r="3" spans="1:29" s="3446" customFormat="1" ht="28.5" customHeight="1" thickBot="1">
      <c r="A3" s="2483" t="s">
        <v>1910</v>
      </c>
      <c r="B3" s="2719">
        <f>IF(C2="——",C37,ROUND(B2*10000/D3,0))</f>
        <v>29570</v>
      </c>
      <c r="C3" s="2720" t="s">
        <v>2222</v>
      </c>
      <c r="D3" s="2719">
        <f>SUMIF('数据-汇总表'!$C19:$C33,D1,'数据-汇总表'!$E19:$E33)</f>
        <v>31436.179999999993</v>
      </c>
      <c r="E3" s="2529"/>
      <c r="F3" s="2530"/>
      <c r="G3" s="2529"/>
      <c r="H3" s="2529"/>
      <c r="I3" s="2529"/>
      <c r="J3" s="2529"/>
      <c r="K3" s="2531"/>
      <c r="L3" s="3442"/>
      <c r="M3" s="3443"/>
      <c r="N3" s="3443"/>
      <c r="O3" s="3443"/>
      <c r="P3" s="3444"/>
      <c r="Q3" s="3444"/>
      <c r="R3" s="3444"/>
      <c r="S3" s="3444"/>
      <c r="T3" s="3444"/>
      <c r="U3" s="3444"/>
      <c r="V3" s="3444"/>
      <c r="W3" s="3444"/>
      <c r="X3" s="3444"/>
      <c r="Y3" s="3444"/>
      <c r="Z3" s="3444"/>
      <c r="AA3" s="3444"/>
      <c r="AB3" s="3447"/>
      <c r="AC3" s="3448"/>
    </row>
    <row r="4" spans="1:29" ht="14.4">
      <c r="A4" s="2723" t="s">
        <v>2223</v>
      </c>
      <c r="B4" s="2724"/>
      <c r="C4" s="3820" t="s">
        <v>2224</v>
      </c>
      <c r="D4" s="3821"/>
      <c r="E4" s="3822" t="s">
        <v>2225</v>
      </c>
      <c r="F4" s="3823"/>
      <c r="G4" s="3820" t="s">
        <v>2226</v>
      </c>
      <c r="H4" s="3821"/>
      <c r="I4" s="3820" t="s">
        <v>2227</v>
      </c>
      <c r="J4" s="3821"/>
      <c r="K4" s="2534" t="s">
        <v>2228</v>
      </c>
      <c r="L4" s="2726"/>
      <c r="M4" s="2727"/>
      <c r="N4" s="2727"/>
      <c r="O4" s="2727"/>
      <c r="P4" s="3885" t="s">
        <v>2229</v>
      </c>
      <c r="Q4" s="3886"/>
      <c r="R4" s="3880" t="s">
        <v>2225</v>
      </c>
      <c r="S4" s="3881"/>
      <c r="T4" s="3880" t="s">
        <v>2226</v>
      </c>
      <c r="U4" s="3881"/>
      <c r="V4" s="3838" t="s">
        <v>2227</v>
      </c>
      <c r="W4" s="3838"/>
      <c r="X4" s="2734"/>
      <c r="Y4" s="3880" t="s">
        <v>2229</v>
      </c>
      <c r="Z4" s="3881"/>
      <c r="AA4" s="3875" t="s">
        <v>2225</v>
      </c>
      <c r="AB4" s="3876" t="s">
        <v>2226</v>
      </c>
      <c r="AC4" s="3875" t="s">
        <v>2227</v>
      </c>
    </row>
    <row r="5" spans="1:29">
      <c r="A5" s="2730"/>
      <c r="B5" s="2731"/>
      <c r="C5" s="3812" t="s">
        <v>2120</v>
      </c>
      <c r="D5" s="3813"/>
      <c r="E5" s="3942" t="s">
        <v>3563</v>
      </c>
      <c r="F5" s="3811"/>
      <c r="G5" s="3812" t="s">
        <v>3562</v>
      </c>
      <c r="H5" s="3813"/>
      <c r="I5" s="3884" t="s">
        <v>3551</v>
      </c>
      <c r="J5" s="3813"/>
      <c r="K5" s="2534"/>
      <c r="L5" s="2726"/>
      <c r="M5" s="2727"/>
      <c r="N5" s="2727"/>
      <c r="O5" s="2727"/>
      <c r="P5" s="3887"/>
      <c r="Q5" s="3888"/>
      <c r="R5" s="3882"/>
      <c r="S5" s="3883"/>
      <c r="T5" s="3882"/>
      <c r="U5" s="3883"/>
      <c r="V5" s="3838"/>
      <c r="W5" s="3838"/>
      <c r="X5" s="2734"/>
      <c r="Y5" s="3882"/>
      <c r="Z5" s="3883"/>
      <c r="AA5" s="3876"/>
      <c r="AB5" s="3876"/>
      <c r="AC5" s="3876"/>
    </row>
    <row r="6" spans="1:29" ht="15" thickBot="1">
      <c r="A6" s="2735"/>
      <c r="B6" s="2604"/>
      <c r="C6" s="3814" t="s">
        <v>2124</v>
      </c>
      <c r="D6" s="3815"/>
      <c r="E6" s="3816" t="s">
        <v>2124</v>
      </c>
      <c r="F6" s="3817"/>
      <c r="G6" s="3814" t="s">
        <v>2124</v>
      </c>
      <c r="H6" s="3815"/>
      <c r="I6" s="3814" t="s">
        <v>2124</v>
      </c>
      <c r="J6" s="3815"/>
      <c r="K6" s="2534" t="s">
        <v>2125</v>
      </c>
      <c r="L6" s="2726"/>
      <c r="M6" s="2727"/>
      <c r="N6" s="2727"/>
      <c r="O6" s="2727"/>
      <c r="P6" s="3889"/>
      <c r="Q6" s="3890"/>
      <c r="R6" s="3882"/>
      <c r="S6" s="3883"/>
      <c r="T6" s="3891"/>
      <c r="U6" s="3892"/>
      <c r="V6" s="3838"/>
      <c r="W6" s="3838"/>
      <c r="X6" s="2734"/>
      <c r="Y6" s="3891"/>
      <c r="Z6" s="3892"/>
      <c r="AA6" s="3877"/>
      <c r="AB6" s="3877"/>
      <c r="AC6" s="3877"/>
    </row>
    <row r="7" spans="1:29" s="2746" customFormat="1" ht="15" thickBot="1">
      <c r="A7" s="2737" t="s">
        <v>2126</v>
      </c>
      <c r="B7" s="2738"/>
      <c r="C7" s="2535">
        <f>'数据-取费表'!B2</f>
        <v>44775</v>
      </c>
      <c r="D7" s="2536">
        <v>100</v>
      </c>
      <c r="E7" s="3436">
        <v>44743</v>
      </c>
      <c r="F7" s="2537">
        <f>SUMIF(46:46,YEAR(E7)&amp;"-"&amp;MONTH(E7),47:47)</f>
        <v>100</v>
      </c>
      <c r="G7" s="3436">
        <v>44743</v>
      </c>
      <c r="H7" s="2536">
        <f>SUMIF(46:46,YEAR(G7)&amp;"-"&amp;MONTH(G7),47:47)</f>
        <v>100</v>
      </c>
      <c r="I7" s="3436">
        <v>44743</v>
      </c>
      <c r="J7" s="2536">
        <f>SUMIF(46:46,YEAR(I7)&amp;"-"&amp;MONTH(I7),47:47)</f>
        <v>100</v>
      </c>
      <c r="K7" s="2534"/>
      <c r="L7" s="2739"/>
      <c r="M7" s="2740"/>
      <c r="N7" s="2740"/>
      <c r="O7" s="2740"/>
      <c r="P7" s="3878" t="s">
        <v>2127</v>
      </c>
      <c r="Q7" s="3893"/>
      <c r="R7" s="2741" t="s">
        <v>17</v>
      </c>
      <c r="S7" s="2744">
        <f t="shared" ref="S7:S14" si="0">F7</f>
        <v>100</v>
      </c>
      <c r="T7" s="2741" t="s">
        <v>17</v>
      </c>
      <c r="U7" s="2744">
        <f t="shared" ref="U7:U14" si="1">H7</f>
        <v>100</v>
      </c>
      <c r="V7" s="2741" t="s">
        <v>17</v>
      </c>
      <c r="W7" s="2744">
        <f t="shared" ref="W7:W14" si="2">J7</f>
        <v>100</v>
      </c>
      <c r="X7" s="2743"/>
      <c r="Y7" s="3878" t="s">
        <v>2127</v>
      </c>
      <c r="Z7" s="3879"/>
      <c r="AA7" s="2745">
        <f>D7/F7</f>
        <v>1</v>
      </c>
      <c r="AB7" s="2745">
        <f>D7/H7</f>
        <v>1</v>
      </c>
      <c r="AC7" s="2745">
        <f>D7/J7</f>
        <v>1</v>
      </c>
    </row>
    <row r="8" spans="1:29" s="2746" customFormat="1" ht="15" thickBot="1">
      <c r="A8" s="2737" t="s">
        <v>2128</v>
      </c>
      <c r="B8" s="2738"/>
      <c r="C8" s="2538" t="s">
        <v>2230</v>
      </c>
      <c r="D8" s="2536">
        <v>100</v>
      </c>
      <c r="E8" s="2538" t="s">
        <v>2165</v>
      </c>
      <c r="F8" s="2537">
        <f>SUMIF(49:49,E8,50:50)-SUMIF(49:49,C8,50:50)+100</f>
        <v>100</v>
      </c>
      <c r="G8" s="2538" t="s">
        <v>2165</v>
      </c>
      <c r="H8" s="2536">
        <f>SUMIF(49:49,G8,50:50)-SUMIF(49:49,C8,50:50)+100</f>
        <v>100</v>
      </c>
      <c r="I8" s="2538" t="s">
        <v>2165</v>
      </c>
      <c r="J8" s="2536">
        <f>SUMIF(49:49,I8,50:50)-SUMIF(49:49,C8,50:50)+100</f>
        <v>100</v>
      </c>
      <c r="K8" s="2534"/>
      <c r="L8" s="2739"/>
      <c r="M8" s="2740"/>
      <c r="N8" s="2740"/>
      <c r="O8" s="2740"/>
      <c r="P8" s="3878" t="s">
        <v>2130</v>
      </c>
      <c r="Q8" s="3879"/>
      <c r="R8" s="2741" t="s">
        <v>17</v>
      </c>
      <c r="S8" s="2744">
        <f t="shared" si="0"/>
        <v>100</v>
      </c>
      <c r="T8" s="2741" t="s">
        <v>17</v>
      </c>
      <c r="U8" s="2744">
        <f t="shared" si="1"/>
        <v>100</v>
      </c>
      <c r="V8" s="2741" t="s">
        <v>17</v>
      </c>
      <c r="W8" s="2744">
        <f t="shared" si="2"/>
        <v>100</v>
      </c>
      <c r="X8" s="2743"/>
      <c r="Y8" s="3878" t="s">
        <v>2130</v>
      </c>
      <c r="Z8" s="3879"/>
      <c r="AA8" s="2745">
        <f t="shared" ref="AA8:AA34" si="3">D8/F8</f>
        <v>1</v>
      </c>
      <c r="AB8" s="2745">
        <f t="shared" ref="AB8:AB34" si="4">D8/H8</f>
        <v>1</v>
      </c>
      <c r="AC8" s="2745">
        <f t="shared" ref="AC8:AC34" si="5">D8/J8</f>
        <v>1</v>
      </c>
    </row>
    <row r="9" spans="1:29" s="2746" customFormat="1" ht="14.4">
      <c r="A9" s="2747" t="s">
        <v>2131</v>
      </c>
      <c r="B9" s="2748" t="s">
        <v>2132</v>
      </c>
      <c r="C9" s="2749" t="s">
        <v>3556</v>
      </c>
      <c r="D9" s="2540">
        <v>100</v>
      </c>
      <c r="E9" s="2749" t="s">
        <v>3556</v>
      </c>
      <c r="F9" s="2748">
        <f>SUMIF(51:51,E9,52:52)-SUMIF(51:51,C9,52:52)+100</f>
        <v>100</v>
      </c>
      <c r="G9" s="2749" t="s">
        <v>3556</v>
      </c>
      <c r="H9" s="2540">
        <f>SUMIF(51:51,G9,52:52)-SUMIF(51:51,C9,52:52)+100</f>
        <v>100</v>
      </c>
      <c r="I9" s="2749" t="s">
        <v>3556</v>
      </c>
      <c r="J9" s="2540">
        <f>SUMIF(51:51,I9,52:52)-SUMIF(51:51,C9,52:52)+100</f>
        <v>100</v>
      </c>
      <c r="K9" s="2534"/>
      <c r="L9" s="2739"/>
      <c r="M9" s="2740"/>
      <c r="N9" s="2740"/>
      <c r="O9" s="3449"/>
      <c r="P9" s="3845" t="s">
        <v>2133</v>
      </c>
      <c r="Q9" s="2750" t="str">
        <f t="shared" ref="Q9:Q14" si="6">B9</f>
        <v>用途</v>
      </c>
      <c r="R9" s="2741" t="s">
        <v>17</v>
      </c>
      <c r="S9" s="2744">
        <f t="shared" si="0"/>
        <v>100</v>
      </c>
      <c r="T9" s="2741" t="s">
        <v>17</v>
      </c>
      <c r="U9" s="2744">
        <f t="shared" si="1"/>
        <v>100</v>
      </c>
      <c r="V9" s="2741" t="s">
        <v>17</v>
      </c>
      <c r="W9" s="2744">
        <f t="shared" si="2"/>
        <v>100</v>
      </c>
      <c r="X9" s="2743"/>
      <c r="Y9" s="3777" t="s">
        <v>2134</v>
      </c>
      <c r="Z9" s="2745" t="str">
        <f t="shared" ref="Z9:Z14" si="7">Q9</f>
        <v>用途</v>
      </c>
      <c r="AA9" s="2745">
        <f t="shared" si="3"/>
        <v>1</v>
      </c>
      <c r="AB9" s="2745">
        <f t="shared" si="4"/>
        <v>1</v>
      </c>
      <c r="AC9" s="2745">
        <f t="shared" si="5"/>
        <v>1</v>
      </c>
    </row>
    <row r="10" spans="1:29" s="2757" customFormat="1" ht="28.8">
      <c r="A10" s="2751"/>
      <c r="B10" s="2752" t="s">
        <v>2135</v>
      </c>
      <c r="C10" s="2753" t="s">
        <v>3557</v>
      </c>
      <c r="D10" s="2542">
        <v>100</v>
      </c>
      <c r="E10" s="2753" t="s">
        <v>3557</v>
      </c>
      <c r="F10" s="2752">
        <f>SUMIF(53:53,E10,54:54)-SUMIF(53:53,C10,54:54)+100</f>
        <v>100</v>
      </c>
      <c r="G10" s="2753" t="s">
        <v>3557</v>
      </c>
      <c r="H10" s="2542">
        <f>SUMIF(53:53,G10,54:54)-SUMIF(53:53,C10,54:54)+100</f>
        <v>100</v>
      </c>
      <c r="I10" s="2753" t="s">
        <v>3557</v>
      </c>
      <c r="J10" s="2542">
        <f>SUMIF(53:53,I10,54:54)-SUMIF(53:53,C10,54:54)+100</f>
        <v>100</v>
      </c>
      <c r="K10" s="2580">
        <f>'比较法-住宅'!K10</f>
        <v>1</v>
      </c>
      <c r="L10" s="2755"/>
      <c r="M10" s="2756"/>
      <c r="N10" s="2756"/>
      <c r="O10" s="3450"/>
      <c r="P10" s="3845"/>
      <c r="Q10" s="2750" t="str">
        <f t="shared" si="6"/>
        <v>土地使用年限（年）</v>
      </c>
      <c r="R10" s="2741" t="s">
        <v>17</v>
      </c>
      <c r="S10" s="2744">
        <f t="shared" si="0"/>
        <v>100</v>
      </c>
      <c r="T10" s="2741" t="s">
        <v>17</v>
      </c>
      <c r="U10" s="2744">
        <f t="shared" si="1"/>
        <v>100</v>
      </c>
      <c r="V10" s="2741" t="s">
        <v>17</v>
      </c>
      <c r="W10" s="2744">
        <f t="shared" si="2"/>
        <v>100</v>
      </c>
      <c r="X10" s="2743"/>
      <c r="Y10" s="3777"/>
      <c r="Z10" s="2745" t="str">
        <f t="shared" si="7"/>
        <v>土地使用年限（年）</v>
      </c>
      <c r="AA10" s="2745">
        <f t="shared" si="3"/>
        <v>1</v>
      </c>
      <c r="AB10" s="2745">
        <f t="shared" si="4"/>
        <v>1</v>
      </c>
      <c r="AC10" s="2745">
        <f t="shared" si="5"/>
        <v>1</v>
      </c>
    </row>
    <row r="11" spans="1:29" ht="15">
      <c r="A11" s="2758"/>
      <c r="B11" s="2761">
        <v>111</v>
      </c>
      <c r="C11" s="2541"/>
      <c r="D11" s="2542">
        <v>100</v>
      </c>
      <c r="E11" s="2788"/>
      <c r="F11" s="2752">
        <f>SUMIF(55:55,E11,56:56)-SUMIF(55:55,C11,56:56)+100</f>
        <v>100</v>
      </c>
      <c r="G11" s="2788"/>
      <c r="H11" s="2542">
        <f>SUMIF(55:55,G11,56:56)-SUMIF(55:55,C11,56:56)+100</f>
        <v>100</v>
      </c>
      <c r="I11" s="2788"/>
      <c r="J11" s="2542">
        <f>SUMIF(55:55,I11,56:56)-SUMIF(55:55,C11,56:56)+100</f>
        <v>100</v>
      </c>
      <c r="K11" s="2579"/>
      <c r="L11" s="2759"/>
      <c r="M11" s="2727"/>
      <c r="N11" s="2727"/>
      <c r="O11" s="3451"/>
      <c r="P11" s="3845"/>
      <c r="Q11" s="2750">
        <f t="shared" si="6"/>
        <v>111</v>
      </c>
      <c r="R11" s="2741" t="s">
        <v>17</v>
      </c>
      <c r="S11" s="2744">
        <f t="shared" si="0"/>
        <v>100</v>
      </c>
      <c r="T11" s="2741" t="s">
        <v>17</v>
      </c>
      <c r="U11" s="2744">
        <f t="shared" si="1"/>
        <v>100</v>
      </c>
      <c r="V11" s="2741" t="s">
        <v>17</v>
      </c>
      <c r="W11" s="2744">
        <f t="shared" si="2"/>
        <v>100</v>
      </c>
      <c r="X11" s="2743"/>
      <c r="Y11" s="3777"/>
      <c r="Z11" s="2745">
        <f t="shared" si="7"/>
        <v>111</v>
      </c>
      <c r="AA11" s="2745">
        <f t="shared" si="3"/>
        <v>1</v>
      </c>
      <c r="AB11" s="2745">
        <f t="shared" si="4"/>
        <v>1</v>
      </c>
      <c r="AC11" s="2745">
        <f t="shared" si="5"/>
        <v>1</v>
      </c>
    </row>
    <row r="12" spans="1:29" s="2746" customFormat="1" ht="15">
      <c r="A12" s="2760"/>
      <c r="B12" s="2761">
        <v>111</v>
      </c>
      <c r="C12" s="2541"/>
      <c r="D12" s="2549">
        <v>100</v>
      </c>
      <c r="E12" s="2788"/>
      <c r="F12" s="2752">
        <f>SUMIF(57:57,E12,58:58)-SUMIF(57:57,C12,58:58)+100</f>
        <v>100</v>
      </c>
      <c r="G12" s="2788"/>
      <c r="H12" s="2542">
        <f>SUMIF(57:57,G12,58:58)-SUMIF(57:57,C12,58:58)+100</f>
        <v>100</v>
      </c>
      <c r="I12" s="2788"/>
      <c r="J12" s="2542">
        <f>SUMIF(57:57,I12,58:58)-SUMIF(57:57,C12,58:58)+100</f>
        <v>100</v>
      </c>
      <c r="K12" s="2579"/>
      <c r="L12" s="2739"/>
      <c r="M12" s="2740"/>
      <c r="N12" s="2740"/>
      <c r="O12" s="3449"/>
      <c r="P12" s="3845"/>
      <c r="Q12" s="2750">
        <f t="shared" si="6"/>
        <v>111</v>
      </c>
      <c r="R12" s="2741" t="s">
        <v>17</v>
      </c>
      <c r="S12" s="2744">
        <f t="shared" si="0"/>
        <v>100</v>
      </c>
      <c r="T12" s="2741" t="s">
        <v>17</v>
      </c>
      <c r="U12" s="2744">
        <f t="shared" si="1"/>
        <v>100</v>
      </c>
      <c r="V12" s="2741" t="s">
        <v>17</v>
      </c>
      <c r="W12" s="2744">
        <f t="shared" si="2"/>
        <v>100</v>
      </c>
      <c r="X12" s="2743"/>
      <c r="Y12" s="3777"/>
      <c r="Z12" s="2745">
        <f t="shared" si="7"/>
        <v>111</v>
      </c>
      <c r="AA12" s="2745">
        <f>D12/F12</f>
        <v>1</v>
      </c>
      <c r="AB12" s="2745">
        <f>D12/H12</f>
        <v>1</v>
      </c>
      <c r="AC12" s="2745">
        <f>D12/J12</f>
        <v>1</v>
      </c>
    </row>
    <row r="13" spans="1:29" ht="15.6" thickBot="1">
      <c r="A13" s="2758"/>
      <c r="B13" s="2761">
        <v>111</v>
      </c>
      <c r="C13" s="2550"/>
      <c r="D13" s="2551">
        <v>100</v>
      </c>
      <c r="E13" s="2788"/>
      <c r="F13" s="2752">
        <f>SUMIF(59:59,E13,60:60)-SUMIF(59:59,C13,60:60)+100</f>
        <v>100</v>
      </c>
      <c r="G13" s="3452"/>
      <c r="H13" s="2553">
        <f>SUMIF(59:59,G13,60:60)-SUMIF(59:59,C13,60:60)+100</f>
        <v>100</v>
      </c>
      <c r="I13" s="2788"/>
      <c r="J13" s="2551">
        <f>SUMIF(59:59,I13,60:60)-SUMIF(59:59,C13,60:60)+100</f>
        <v>100</v>
      </c>
      <c r="K13" s="2579"/>
      <c r="L13" s="2763"/>
      <c r="M13" s="2727"/>
      <c r="N13" s="2727"/>
      <c r="O13" s="3451"/>
      <c r="P13" s="3845"/>
      <c r="Q13" s="2750">
        <f t="shared" si="6"/>
        <v>111</v>
      </c>
      <c r="R13" s="2741" t="s">
        <v>17</v>
      </c>
      <c r="S13" s="2744">
        <f t="shared" si="0"/>
        <v>100</v>
      </c>
      <c r="T13" s="2741" t="s">
        <v>17</v>
      </c>
      <c r="U13" s="2744">
        <f t="shared" si="1"/>
        <v>100</v>
      </c>
      <c r="V13" s="2741" t="s">
        <v>17</v>
      </c>
      <c r="W13" s="2744">
        <f t="shared" si="2"/>
        <v>100</v>
      </c>
      <c r="X13" s="2743"/>
      <c r="Y13" s="3777"/>
      <c r="Z13" s="2745">
        <f t="shared" si="7"/>
        <v>111</v>
      </c>
      <c r="AA13" s="2745">
        <f t="shared" si="3"/>
        <v>1</v>
      </c>
      <c r="AB13" s="2745">
        <f t="shared" si="4"/>
        <v>1</v>
      </c>
      <c r="AC13" s="2745">
        <f t="shared" si="5"/>
        <v>1</v>
      </c>
    </row>
    <row r="14" spans="1:29" ht="81.75" customHeight="1">
      <c r="A14" s="2767" t="s">
        <v>2137</v>
      </c>
      <c r="B14" s="2768"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SUMIF(61:61,E15,62:62)-SUMIF(61:61,C15,62:62)+100</f>
        <v>100</v>
      </c>
      <c r="G14" s="2558"/>
      <c r="H14" s="2557">
        <f>SUMIF(61:61,G15,62:62)-SUMIF(61:61,C15,62:62)+100</f>
        <v>100</v>
      </c>
      <c r="I14" s="2558"/>
      <c r="J14" s="2557">
        <f>SUMIF(61:61,I15,62:62)-SUMIF(61:61,C15,62:62)+100</f>
        <v>100</v>
      </c>
      <c r="K14" s="3454">
        <f>'土地比较法-住宅、综合'!K21</f>
        <v>1</v>
      </c>
      <c r="L14" s="2763"/>
      <c r="M14" s="2727"/>
      <c r="N14" s="2727"/>
      <c r="O14" s="3451"/>
      <c r="P14" s="3897" t="s">
        <v>2138</v>
      </c>
      <c r="Q14" s="2624" t="str">
        <f t="shared" si="6"/>
        <v>交通便捷度</v>
      </c>
      <c r="R14" s="2609" t="s">
        <v>17</v>
      </c>
      <c r="S14" s="2598">
        <f t="shared" si="0"/>
        <v>100</v>
      </c>
      <c r="T14" s="2609" t="s">
        <v>17</v>
      </c>
      <c r="U14" s="2598">
        <f t="shared" si="1"/>
        <v>100</v>
      </c>
      <c r="V14" s="2609" t="s">
        <v>17</v>
      </c>
      <c r="W14" s="2598">
        <f t="shared" si="2"/>
        <v>100</v>
      </c>
      <c r="X14" s="2734"/>
      <c r="Y14" s="3897" t="s">
        <v>2138</v>
      </c>
      <c r="Z14" s="2772" t="str">
        <f t="shared" si="7"/>
        <v>交通便捷度</v>
      </c>
      <c r="AA14" s="2772">
        <f t="shared" si="3"/>
        <v>1</v>
      </c>
      <c r="AB14" s="2772">
        <f t="shared" si="4"/>
        <v>1</v>
      </c>
      <c r="AC14" s="2772">
        <f t="shared" si="5"/>
        <v>1</v>
      </c>
    </row>
    <row r="15" spans="1:29" ht="15">
      <c r="A15" s="2758"/>
      <c r="B15" s="2773"/>
      <c r="C15" s="2561" t="s">
        <v>3529</v>
      </c>
      <c r="D15" s="2562"/>
      <c r="E15" s="2561" t="s">
        <v>3529</v>
      </c>
      <c r="F15" s="2736"/>
      <c r="G15" s="2561" t="s">
        <v>3529</v>
      </c>
      <c r="H15" s="2564"/>
      <c r="I15" s="2561" t="s">
        <v>3529</v>
      </c>
      <c r="J15" s="2562"/>
      <c r="K15" s="3455"/>
      <c r="L15" s="2763"/>
      <c r="M15" s="2727"/>
      <c r="N15" s="2727"/>
      <c r="O15" s="3451"/>
      <c r="P15" s="3898"/>
      <c r="Q15" s="2624"/>
      <c r="R15" s="2609"/>
      <c r="S15" s="2598"/>
      <c r="T15" s="2609"/>
      <c r="U15" s="2598"/>
      <c r="V15" s="2609"/>
      <c r="W15" s="2598"/>
      <c r="X15" s="2734"/>
      <c r="Y15" s="3898"/>
      <c r="Z15" s="2772"/>
      <c r="AA15" s="2772">
        <v>1</v>
      </c>
      <c r="AB15" s="2772">
        <v>1</v>
      </c>
      <c r="AC15" s="2772">
        <v>1</v>
      </c>
    </row>
    <row r="16" spans="1:29" ht="84" customHeight="1">
      <c r="A16" s="2758"/>
      <c r="B16" s="277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1" t="s">
        <v>3529</v>
      </c>
      <c r="F16" s="2728">
        <f>SUMIF(63:63,E17,64:64)-SUMIF(63:63,C17,64:64)+100</f>
        <v>100</v>
      </c>
      <c r="G16" s="2571" t="s">
        <v>3529</v>
      </c>
      <c r="H16" s="2567">
        <f>SUMIF(63:63,G17,64:64)-SUMIF(63:63,C17,64:64)+100</f>
        <v>100</v>
      </c>
      <c r="I16" s="2571" t="s">
        <v>3529</v>
      </c>
      <c r="J16" s="2567">
        <f>SUMIF(63:63,I17,64:64)-SUMIF(63:63,C17,64:64)+100</f>
        <v>100</v>
      </c>
      <c r="K16" s="3454">
        <f>'土地比较法-住宅、综合'!K27</f>
        <v>1</v>
      </c>
      <c r="L16" s="2763"/>
      <c r="M16" s="2727"/>
      <c r="N16" s="2727"/>
      <c r="O16" s="3451"/>
      <c r="P16" s="3898"/>
      <c r="Q16" s="2624" t="str">
        <f>B16</f>
        <v>公共配套设施</v>
      </c>
      <c r="R16" s="2609" t="s">
        <v>17</v>
      </c>
      <c r="S16" s="2598">
        <f>F16</f>
        <v>100</v>
      </c>
      <c r="T16" s="2609" t="s">
        <v>17</v>
      </c>
      <c r="U16" s="2598">
        <f>H16</f>
        <v>100</v>
      </c>
      <c r="V16" s="2609" t="s">
        <v>17</v>
      </c>
      <c r="W16" s="2598">
        <f>J16</f>
        <v>100</v>
      </c>
      <c r="X16" s="2734"/>
      <c r="Y16" s="3898"/>
      <c r="Z16" s="2772" t="str">
        <f>Q16</f>
        <v>公共配套设施</v>
      </c>
      <c r="AA16" s="2772">
        <f t="shared" si="3"/>
        <v>1</v>
      </c>
      <c r="AB16" s="2772">
        <f t="shared" si="4"/>
        <v>1</v>
      </c>
      <c r="AC16" s="2772">
        <f t="shared" si="5"/>
        <v>1</v>
      </c>
    </row>
    <row r="17" spans="1:29" ht="15">
      <c r="A17" s="2758"/>
      <c r="B17" s="2777"/>
      <c r="C17" s="2569" t="s">
        <v>3529</v>
      </c>
      <c r="D17" s="2562"/>
      <c r="E17" s="2561" t="s">
        <v>3529</v>
      </c>
      <c r="F17" s="2736"/>
      <c r="G17" s="2561" t="s">
        <v>3529</v>
      </c>
      <c r="H17" s="2562"/>
      <c r="I17" s="2561" t="s">
        <v>3529</v>
      </c>
      <c r="J17" s="2562"/>
      <c r="K17" s="3455"/>
      <c r="L17" s="2763"/>
      <c r="M17" s="2727"/>
      <c r="N17" s="2727"/>
      <c r="O17" s="3451"/>
      <c r="P17" s="3898"/>
      <c r="Q17" s="2624"/>
      <c r="R17" s="2609"/>
      <c r="S17" s="2598"/>
      <c r="T17" s="2609"/>
      <c r="U17" s="2598"/>
      <c r="V17" s="2609"/>
      <c r="W17" s="2598"/>
      <c r="X17" s="2734"/>
      <c r="Y17" s="3898"/>
      <c r="Z17" s="2772"/>
      <c r="AA17" s="2772">
        <v>1</v>
      </c>
      <c r="AB17" s="2772">
        <v>1</v>
      </c>
      <c r="AC17" s="2772">
        <v>1</v>
      </c>
    </row>
    <row r="18" spans="1:29" ht="41.4">
      <c r="A18" s="2758"/>
      <c r="B18" s="2778" t="s">
        <v>2267</v>
      </c>
      <c r="C18" s="2771" t="str">
        <f>IF(B1="工业",估价对象房地状况!G6,估价对象房地状况!C8)</f>
        <v>估价对象所在区域基础设施水平</v>
      </c>
      <c r="D18" s="2567">
        <v>100</v>
      </c>
      <c r="E18" s="2566" t="s">
        <v>3531</v>
      </c>
      <c r="F18" s="2728">
        <f>SUMIF(65:65,E19,66:66)-SUMIF(65:65,C19,66:66)+100</f>
        <v>100</v>
      </c>
      <c r="G18" s="2566" t="s">
        <v>3531</v>
      </c>
      <c r="H18" s="2567">
        <f>SUMIF(65:65,G19,66:66)-SUMIF(65:65,C19,66:66)+100</f>
        <v>100</v>
      </c>
      <c r="I18" s="2566" t="s">
        <v>3531</v>
      </c>
      <c r="J18" s="2567">
        <f>SUMIF(65:65,I19,66:66)-SUMIF(65:65,C19,66:66)+100</f>
        <v>100</v>
      </c>
      <c r="K18" s="3454">
        <f>'土地比较法-住宅、综合'!K29</f>
        <v>1</v>
      </c>
      <c r="L18" s="2763"/>
      <c r="M18" s="2727"/>
      <c r="N18" s="2727"/>
      <c r="O18" s="3451"/>
      <c r="P18" s="3898"/>
      <c r="Q18" s="2624" t="str">
        <f>B18</f>
        <v>基础设施水平</v>
      </c>
      <c r="R18" s="2609" t="s">
        <v>17</v>
      </c>
      <c r="S18" s="2598">
        <f>F18</f>
        <v>100</v>
      </c>
      <c r="T18" s="2609" t="s">
        <v>17</v>
      </c>
      <c r="U18" s="2598">
        <f>H18</f>
        <v>100</v>
      </c>
      <c r="V18" s="2609" t="s">
        <v>17</v>
      </c>
      <c r="W18" s="2598">
        <f>J18</f>
        <v>100</v>
      </c>
      <c r="X18" s="2734"/>
      <c r="Y18" s="3898"/>
      <c r="Z18" s="2772" t="str">
        <f>Q18</f>
        <v>基础设施水平</v>
      </c>
      <c r="AA18" s="2772">
        <f t="shared" ref="AA18" si="8">D18/F18</f>
        <v>1</v>
      </c>
      <c r="AB18" s="2772">
        <f t="shared" ref="AB18" si="9">D18/H18</f>
        <v>1</v>
      </c>
      <c r="AC18" s="2772">
        <f t="shared" ref="AC18" si="10">D18/J18</f>
        <v>1</v>
      </c>
    </row>
    <row r="19" spans="1:29" ht="15">
      <c r="A19" s="2758"/>
      <c r="B19" s="2778"/>
      <c r="C19" s="2569" t="s">
        <v>3531</v>
      </c>
      <c r="D19" s="2564"/>
      <c r="E19" s="2569" t="s">
        <v>3531</v>
      </c>
      <c r="F19" s="2733"/>
      <c r="G19" s="2569" t="s">
        <v>3531</v>
      </c>
      <c r="H19" s="2562"/>
      <c r="I19" s="2569" t="s">
        <v>3531</v>
      </c>
      <c r="J19" s="2562"/>
      <c r="K19" s="3456"/>
      <c r="L19" s="2763"/>
      <c r="M19" s="2727"/>
      <c r="N19" s="2727"/>
      <c r="O19" s="3451"/>
      <c r="P19" s="3898"/>
      <c r="Q19" s="2624"/>
      <c r="R19" s="2609"/>
      <c r="S19" s="2598"/>
      <c r="T19" s="2609"/>
      <c r="U19" s="2598"/>
      <c r="V19" s="2609"/>
      <c r="W19" s="2598"/>
      <c r="X19" s="2734"/>
      <c r="Y19" s="3898"/>
      <c r="Z19" s="2772"/>
      <c r="AA19" s="2772">
        <v>1</v>
      </c>
      <c r="AB19" s="2772">
        <v>1</v>
      </c>
      <c r="AC19" s="2772">
        <v>1</v>
      </c>
    </row>
    <row r="20" spans="1:29" ht="124.2">
      <c r="A20" s="2758"/>
      <c r="B20" s="2776" t="s">
        <v>2288</v>
      </c>
      <c r="C20" s="2771" t="str">
        <f>IF(B1="工业",估价对象房地状况!G7,估价对象房地状况!C9)</f>
        <v>所处区域有温榆河、旧河湾等，自然环境较好；区域内有民航博物馆等，人文环境一般；综合评价自然及人文环境较好</v>
      </c>
      <c r="D20" s="2567">
        <v>100</v>
      </c>
      <c r="E20" s="2571" t="s">
        <v>3530</v>
      </c>
      <c r="F20" s="2728">
        <f>SUMIF(67:67,E21,68:68)-SUMIF(67:67,C21,68:68)+100</f>
        <v>100</v>
      </c>
      <c r="G20" s="2571" t="s">
        <v>3530</v>
      </c>
      <c r="H20" s="2564">
        <f>SUMIF(67:67,G21,68:68)-SUMIF(67:67,C21,68:68)+100</f>
        <v>100</v>
      </c>
      <c r="I20" s="2571" t="s">
        <v>3530</v>
      </c>
      <c r="J20" s="2564">
        <f>SUMIF(67:67,I21,68:68)-SUMIF(67:67,C21,68:68)+100</f>
        <v>100</v>
      </c>
      <c r="K20" s="3454">
        <f>'土地比较法-住宅、综合'!K25</f>
        <v>1</v>
      </c>
      <c r="L20" s="2763"/>
      <c r="M20" s="2727"/>
      <c r="N20" s="2727"/>
      <c r="O20" s="3451"/>
      <c r="P20" s="3898"/>
      <c r="Q20" s="2624" t="str">
        <f>B20</f>
        <v>自然及人文环境</v>
      </c>
      <c r="R20" s="2609" t="s">
        <v>17</v>
      </c>
      <c r="S20" s="2598">
        <f>F20</f>
        <v>100</v>
      </c>
      <c r="T20" s="2609" t="s">
        <v>17</v>
      </c>
      <c r="U20" s="2598">
        <f>H20</f>
        <v>100</v>
      </c>
      <c r="V20" s="2609" t="s">
        <v>17</v>
      </c>
      <c r="W20" s="2598">
        <f>J20</f>
        <v>100</v>
      </c>
      <c r="X20" s="2734"/>
      <c r="Y20" s="3898"/>
      <c r="Z20" s="2772" t="str">
        <f>Q20</f>
        <v>自然及人文环境</v>
      </c>
      <c r="AA20" s="2772">
        <f t="shared" si="3"/>
        <v>1</v>
      </c>
      <c r="AB20" s="2772">
        <f t="shared" si="4"/>
        <v>1</v>
      </c>
      <c r="AC20" s="2772">
        <f t="shared" si="5"/>
        <v>1</v>
      </c>
    </row>
    <row r="21" spans="1:29" ht="15">
      <c r="A21" s="2758"/>
      <c r="B21" s="2777"/>
      <c r="C21" s="2561" t="s">
        <v>3530</v>
      </c>
      <c r="D21" s="2562"/>
      <c r="E21" s="2561" t="s">
        <v>3530</v>
      </c>
      <c r="F21" s="2736"/>
      <c r="G21" s="2561" t="s">
        <v>3530</v>
      </c>
      <c r="H21" s="2562"/>
      <c r="I21" s="2561" t="s">
        <v>3530</v>
      </c>
      <c r="J21" s="2562"/>
      <c r="K21" s="3455"/>
      <c r="L21" s="2763"/>
      <c r="M21" s="2727"/>
      <c r="N21" s="2727"/>
      <c r="O21" s="3451"/>
      <c r="P21" s="3898"/>
      <c r="Q21" s="2624"/>
      <c r="R21" s="2609"/>
      <c r="S21" s="2598"/>
      <c r="T21" s="2609"/>
      <c r="U21" s="2598"/>
      <c r="V21" s="2609"/>
      <c r="W21" s="2598"/>
      <c r="X21" s="2734"/>
      <c r="Y21" s="3898"/>
      <c r="Z21" s="2772"/>
      <c r="AA21" s="2772">
        <v>1</v>
      </c>
      <c r="AB21" s="2772">
        <v>1</v>
      </c>
      <c r="AC21" s="2772">
        <v>1</v>
      </c>
    </row>
    <row r="22" spans="1:29" ht="15">
      <c r="A22" s="2758"/>
      <c r="B22" s="2776" t="s">
        <v>2289</v>
      </c>
      <c r="C22" s="2574"/>
      <c r="D22" s="2564">
        <v>100</v>
      </c>
      <c r="E22" s="2574"/>
      <c r="F22" s="2811">
        <f>SUMIF(69:69,E22,70:70)-SUMIF(69:69,C22,70:70)+100</f>
        <v>100</v>
      </c>
      <c r="G22" s="2574"/>
      <c r="H22" s="2551">
        <f>SUMIF(69:69,G22,70:70)-SUMIF(69:69,C22,70:70)+100</f>
        <v>100</v>
      </c>
      <c r="I22" s="2574"/>
      <c r="J22" s="2551">
        <f>SUMIF(69:69,I22,70:70)-SUMIF(69:69,C22,70:70)+100</f>
        <v>100</v>
      </c>
      <c r="K22" s="2580"/>
      <c r="L22" s="2763"/>
      <c r="M22" s="2727"/>
      <c r="N22" s="2727"/>
      <c r="O22" s="3451"/>
      <c r="P22" s="3898"/>
      <c r="Q22" s="2624" t="str">
        <f>B22</f>
        <v>楼层</v>
      </c>
      <c r="R22" s="2609" t="s">
        <v>17</v>
      </c>
      <c r="S22" s="2598">
        <f>F22</f>
        <v>100</v>
      </c>
      <c r="T22" s="2609" t="s">
        <v>17</v>
      </c>
      <c r="U22" s="2598">
        <f>H22</f>
        <v>100</v>
      </c>
      <c r="V22" s="2609" t="s">
        <v>17</v>
      </c>
      <c r="W22" s="2598">
        <f>J22</f>
        <v>100</v>
      </c>
      <c r="X22" s="2734"/>
      <c r="Y22" s="3898"/>
      <c r="Z22" s="2772" t="str">
        <f>Q22</f>
        <v>楼层</v>
      </c>
      <c r="AA22" s="2772">
        <f t="shared" si="3"/>
        <v>1</v>
      </c>
      <c r="AB22" s="2772">
        <f t="shared" si="4"/>
        <v>1</v>
      </c>
      <c r="AC22" s="2772">
        <f t="shared" si="5"/>
        <v>1</v>
      </c>
    </row>
    <row r="23" spans="1:29" ht="15">
      <c r="A23" s="2730"/>
      <c r="B23" s="2761">
        <v>111</v>
      </c>
      <c r="C23" s="2541"/>
      <c r="D23" s="2551">
        <v>100</v>
      </c>
      <c r="E23" s="2550"/>
      <c r="F23" s="2811">
        <f>SUMIF(71:71,E23,72:72)-SUMIF(71:71,C23,72:72)+100</f>
        <v>100</v>
      </c>
      <c r="G23" s="2550"/>
      <c r="H23" s="2551">
        <f>SUMIF(71:71,G23,72:72)-SUMIF(71:71,C23,72:72)+100</f>
        <v>100</v>
      </c>
      <c r="I23" s="2550"/>
      <c r="J23" s="2551">
        <f>SUMIF(71:71,I23,72:72)-SUMIF(71:71,C23,72:72)+100</f>
        <v>100</v>
      </c>
      <c r="K23" s="2579"/>
      <c r="L23" s="2763"/>
      <c r="M23" s="2727"/>
      <c r="N23" s="2727"/>
      <c r="O23" s="3451"/>
      <c r="P23" s="3898"/>
      <c r="Q23" s="2624">
        <f>B23</f>
        <v>111</v>
      </c>
      <c r="R23" s="2609" t="s">
        <v>17</v>
      </c>
      <c r="S23" s="2598">
        <f>F23</f>
        <v>100</v>
      </c>
      <c r="T23" s="2609" t="s">
        <v>17</v>
      </c>
      <c r="U23" s="2598">
        <f>H23</f>
        <v>100</v>
      </c>
      <c r="V23" s="2609" t="s">
        <v>17</v>
      </c>
      <c r="W23" s="2598">
        <f>J23</f>
        <v>100</v>
      </c>
      <c r="X23" s="2734"/>
      <c r="Y23" s="3898"/>
      <c r="Z23" s="2772">
        <f>Q23</f>
        <v>111</v>
      </c>
      <c r="AA23" s="2772">
        <f t="shared" si="3"/>
        <v>1</v>
      </c>
      <c r="AB23" s="2772">
        <f t="shared" si="4"/>
        <v>1</v>
      </c>
      <c r="AC23" s="2772">
        <f t="shared" si="5"/>
        <v>1</v>
      </c>
    </row>
    <row r="24" spans="1:29" ht="15">
      <c r="A24" s="2758"/>
      <c r="B24" s="2761">
        <v>111</v>
      </c>
      <c r="C24" s="2541"/>
      <c r="D24" s="2551">
        <v>100</v>
      </c>
      <c r="E24" s="2550"/>
      <c r="F24" s="2811">
        <f>SUMIF(73:73,E24,74:74)-SUMIF(73:73,C24,74:74)+100</f>
        <v>100</v>
      </c>
      <c r="G24" s="2550"/>
      <c r="H24" s="2551">
        <f>SUMIF(73:73,G24,74:74)-SUMIF(73:73,C24,74:74)+100</f>
        <v>100</v>
      </c>
      <c r="I24" s="2550"/>
      <c r="J24" s="2551">
        <f>SUMIF(73:73,I24,74:74)-SUMIF(73:73,C24,74:74)+100</f>
        <v>100</v>
      </c>
      <c r="K24" s="2579"/>
      <c r="L24" s="2763"/>
      <c r="M24" s="2727"/>
      <c r="N24" s="2727"/>
      <c r="O24" s="3451"/>
      <c r="P24" s="3898"/>
      <c r="Q24" s="2624">
        <f t="shared" ref="Q24:Q34" si="11">B24</f>
        <v>111</v>
      </c>
      <c r="R24" s="2609" t="s">
        <v>17</v>
      </c>
      <c r="S24" s="2598">
        <f>F24</f>
        <v>100</v>
      </c>
      <c r="T24" s="2609" t="s">
        <v>17</v>
      </c>
      <c r="U24" s="2598">
        <f>H24</f>
        <v>100</v>
      </c>
      <c r="V24" s="2609" t="s">
        <v>17</v>
      </c>
      <c r="W24" s="2598">
        <f>J24</f>
        <v>100</v>
      </c>
      <c r="X24" s="2734"/>
      <c r="Y24" s="3898"/>
      <c r="Z24" s="2772">
        <f>Q24</f>
        <v>111</v>
      </c>
      <c r="AA24" s="2772">
        <f t="shared" si="3"/>
        <v>1</v>
      </c>
      <c r="AB24" s="2772">
        <f t="shared" si="4"/>
        <v>1</v>
      </c>
      <c r="AC24" s="2772">
        <f t="shared" si="5"/>
        <v>1</v>
      </c>
    </row>
    <row r="25" spans="1:29" s="2746" customFormat="1" ht="15.6" thickBot="1">
      <c r="A25" s="2760"/>
      <c r="B25" s="2761">
        <v>111</v>
      </c>
      <c r="C25" s="3457"/>
      <c r="D25" s="3458">
        <v>100</v>
      </c>
      <c r="E25" s="3457"/>
      <c r="F25" s="2778">
        <f>SUMIF(75:75,E25,76:76)-SUMIF(75:75,C25,76:76)+100</f>
        <v>100</v>
      </c>
      <c r="G25" s="3457"/>
      <c r="H25" s="3458">
        <f>SUMIF(75:75,G25,76:76)-SUMIF(75:75,C25,76:76)+100</f>
        <v>100</v>
      </c>
      <c r="I25" s="3457"/>
      <c r="J25" s="3458">
        <f>SUMIF(75:75,I25,76:76)-SUMIF(75:75,C25,76:76)+100</f>
        <v>100</v>
      </c>
      <c r="K25" s="2579"/>
      <c r="L25" s="2739"/>
      <c r="M25" s="2740"/>
      <c r="N25" s="2740"/>
      <c r="O25" s="3449"/>
      <c r="P25" s="3898"/>
      <c r="Q25" s="2750">
        <f t="shared" si="11"/>
        <v>111</v>
      </c>
      <c r="R25" s="2741" t="s">
        <v>17</v>
      </c>
      <c r="S25" s="2744">
        <f>F25</f>
        <v>100</v>
      </c>
      <c r="T25" s="2741" t="s">
        <v>17</v>
      </c>
      <c r="U25" s="2744">
        <f>H25</f>
        <v>100</v>
      </c>
      <c r="V25" s="2741" t="s">
        <v>17</v>
      </c>
      <c r="W25" s="2744">
        <f>J25</f>
        <v>100</v>
      </c>
      <c r="X25" s="2743"/>
      <c r="Y25" s="3898"/>
      <c r="Z25" s="2745">
        <f>Q25</f>
        <v>111</v>
      </c>
      <c r="AA25" s="2772">
        <f>D25/F25</f>
        <v>1</v>
      </c>
      <c r="AB25" s="2772">
        <f>D25/H25</f>
        <v>1</v>
      </c>
      <c r="AC25" s="2772">
        <f>D25/J25</f>
        <v>1</v>
      </c>
    </row>
    <row r="26" spans="1:29" ht="30">
      <c r="A26" s="3459" t="s">
        <v>2141</v>
      </c>
      <c r="B26" s="2748" t="s">
        <v>2292</v>
      </c>
      <c r="C26" s="2785" t="s">
        <v>3548</v>
      </c>
      <c r="D26" s="2586">
        <v>100</v>
      </c>
      <c r="E26" s="2785" t="s">
        <v>3548</v>
      </c>
      <c r="F26" s="2533">
        <f>SUMIF(77:77,E26,78:78)-SUMIF(77:77,C26,78:78)+100</f>
        <v>100</v>
      </c>
      <c r="G26" s="2785" t="s">
        <v>3548</v>
      </c>
      <c r="H26" s="2586">
        <f>SUMIF(77:77,G26,78:78)-SUMIF(77:77,C26,78:78)+100</f>
        <v>100</v>
      </c>
      <c r="I26" s="2785" t="s">
        <v>3548</v>
      </c>
      <c r="J26" s="2586">
        <f>SUMIF(77:77,I26,78:78)-SUMIF(77:77,C26,78:78)+100</f>
        <v>100</v>
      </c>
      <c r="K26" s="2580">
        <v>1</v>
      </c>
      <c r="L26" s="2763"/>
      <c r="M26" s="2727"/>
      <c r="N26" s="2727"/>
      <c r="O26" s="3451"/>
      <c r="P26" s="3943" t="s">
        <v>2143</v>
      </c>
      <c r="Q26" s="2624" t="str">
        <f t="shared" si="11"/>
        <v>公共部分装修</v>
      </c>
      <c r="R26" s="2609" t="s">
        <v>17</v>
      </c>
      <c r="S26" s="2598">
        <f t="shared" ref="S26:S34" si="12">F26</f>
        <v>100</v>
      </c>
      <c r="T26" s="2609" t="s">
        <v>17</v>
      </c>
      <c r="U26" s="2598">
        <f t="shared" ref="U26:U34" si="13">H26</f>
        <v>100</v>
      </c>
      <c r="V26" s="2609" t="s">
        <v>17</v>
      </c>
      <c r="W26" s="2598">
        <f t="shared" ref="W26:W34" si="14">J26</f>
        <v>100</v>
      </c>
      <c r="X26" s="2734"/>
      <c r="Y26" s="3902" t="s">
        <v>2143</v>
      </c>
      <c r="Z26" s="2772" t="str">
        <f t="shared" ref="Z26:Z34" si="15">Q26</f>
        <v>公共部分装修</v>
      </c>
      <c r="AA26" s="2772">
        <f t="shared" si="3"/>
        <v>1</v>
      </c>
      <c r="AB26" s="2772">
        <f t="shared" si="4"/>
        <v>1</v>
      </c>
      <c r="AC26" s="2772">
        <f t="shared" si="5"/>
        <v>1</v>
      </c>
    </row>
    <row r="27" spans="1:29" s="2795" customFormat="1" ht="15">
      <c r="A27" s="2787"/>
      <c r="B27" s="2752" t="s">
        <v>2293</v>
      </c>
      <c r="C27" s="2788">
        <v>1</v>
      </c>
      <c r="D27" s="2542">
        <v>100</v>
      </c>
      <c r="E27" s="2788">
        <v>1</v>
      </c>
      <c r="F27" s="2811">
        <f>LOOKUP(E27,80:80,81:81)-LOOKUP(C27,80:80,81:81)+100</f>
        <v>100</v>
      </c>
      <c r="G27" s="2788">
        <v>1</v>
      </c>
      <c r="H27" s="2551">
        <f>LOOKUP(G27,80:80,81:81)-LOOKUP(C27,80:80,81:81)+100</f>
        <v>100</v>
      </c>
      <c r="I27" s="2788">
        <v>1</v>
      </c>
      <c r="J27" s="2551">
        <f>LOOKUP(I27,80:80,81:81)-LOOKUP(C27,80:80,81:81)+100</f>
        <v>100</v>
      </c>
      <c r="K27" s="2580">
        <v>1</v>
      </c>
      <c r="L27" s="2759"/>
      <c r="M27" s="2789"/>
      <c r="N27" s="2789"/>
      <c r="O27" s="3460"/>
      <c r="P27" s="3902"/>
      <c r="Q27" s="2790" t="str">
        <f t="shared" si="11"/>
        <v>成新率</v>
      </c>
      <c r="R27" s="2791" t="s">
        <v>17</v>
      </c>
      <c r="S27" s="2792">
        <f t="shared" si="12"/>
        <v>100</v>
      </c>
      <c r="T27" s="2791" t="s">
        <v>17</v>
      </c>
      <c r="U27" s="2792">
        <f t="shared" si="13"/>
        <v>100</v>
      </c>
      <c r="V27" s="2791" t="s">
        <v>17</v>
      </c>
      <c r="W27" s="2792">
        <f t="shared" si="14"/>
        <v>100</v>
      </c>
      <c r="X27" s="2793"/>
      <c r="Y27" s="3902"/>
      <c r="Z27" s="2794" t="str">
        <f t="shared" si="15"/>
        <v>成新率</v>
      </c>
      <c r="AA27" s="2772">
        <f t="shared" si="3"/>
        <v>1</v>
      </c>
      <c r="AB27" s="2772">
        <f t="shared" si="4"/>
        <v>1</v>
      </c>
      <c r="AC27" s="2772">
        <f t="shared" si="5"/>
        <v>1</v>
      </c>
    </row>
    <row r="28" spans="1:29" ht="15">
      <c r="A28" s="2796"/>
      <c r="B28" s="2752" t="s">
        <v>2294</v>
      </c>
      <c r="C28" s="2587" t="s">
        <v>3549</v>
      </c>
      <c r="D28" s="2551">
        <v>100</v>
      </c>
      <c r="E28" s="2587" t="s">
        <v>3549</v>
      </c>
      <c r="F28" s="2811">
        <f>SUMIF(82:82,E28,83:83)-SUMIF(82:82,C28,83:83)+100</f>
        <v>100</v>
      </c>
      <c r="G28" s="2587" t="s">
        <v>3549</v>
      </c>
      <c r="H28" s="2551">
        <f>SUMIF(82:82,G28,83:83)-SUMIF(82:82,C28,83:83)+100</f>
        <v>100</v>
      </c>
      <c r="I28" s="2587" t="s">
        <v>3549</v>
      </c>
      <c r="J28" s="2551">
        <f>SUMIF(82:82,I28,83:83)-SUMIF(82:82,C28,83:83)+100</f>
        <v>100</v>
      </c>
      <c r="K28" s="2580">
        <v>1</v>
      </c>
      <c r="L28" s="2763"/>
      <c r="M28" s="2727"/>
      <c r="N28" s="2727"/>
      <c r="O28" s="3451"/>
      <c r="P28" s="3902"/>
      <c r="Q28" s="2624" t="str">
        <f t="shared" si="11"/>
        <v>物业等级</v>
      </c>
      <c r="R28" s="2609" t="s">
        <v>17</v>
      </c>
      <c r="S28" s="2598">
        <f t="shared" si="12"/>
        <v>100</v>
      </c>
      <c r="T28" s="2609" t="s">
        <v>17</v>
      </c>
      <c r="U28" s="2598">
        <f t="shared" si="13"/>
        <v>100</v>
      </c>
      <c r="V28" s="2609" t="s">
        <v>17</v>
      </c>
      <c r="W28" s="2598">
        <f t="shared" si="14"/>
        <v>100</v>
      </c>
      <c r="X28" s="2734"/>
      <c r="Y28" s="3902"/>
      <c r="Z28" s="2772" t="str">
        <f t="shared" si="15"/>
        <v>物业等级</v>
      </c>
      <c r="AA28" s="2772">
        <f t="shared" si="3"/>
        <v>1</v>
      </c>
      <c r="AB28" s="2772">
        <f t="shared" si="4"/>
        <v>1</v>
      </c>
      <c r="AC28" s="2772">
        <f t="shared" si="5"/>
        <v>1</v>
      </c>
    </row>
    <row r="29" spans="1:29" ht="15">
      <c r="A29" s="2796"/>
      <c r="B29" s="2752" t="s">
        <v>2315</v>
      </c>
      <c r="C29" s="2588" t="s">
        <v>3558</v>
      </c>
      <c r="D29" s="2551">
        <v>100</v>
      </c>
      <c r="E29" s="2588" t="s">
        <v>3558</v>
      </c>
      <c r="F29" s="2811">
        <f>SUMIF(84:84,E29,85:85)-SUMIF(84:84,C29,85:85)+100</f>
        <v>100</v>
      </c>
      <c r="G29" s="2588" t="s">
        <v>3558</v>
      </c>
      <c r="H29" s="2551">
        <f>SUMIF(84:84,G29,85:85)-SUMIF(84:84,C29,85:85)+100</f>
        <v>100</v>
      </c>
      <c r="I29" s="2588" t="s">
        <v>3558</v>
      </c>
      <c r="J29" s="2551">
        <f>SUMIF(84:84,I29,85:85)-SUMIF(84:84,C29,85:85)+100</f>
        <v>100</v>
      </c>
      <c r="K29" s="2580">
        <v>1</v>
      </c>
      <c r="L29" s="2763"/>
      <c r="M29" s="2727"/>
      <c r="N29" s="2727"/>
      <c r="O29" s="3451"/>
      <c r="P29" s="3902"/>
      <c r="Q29" s="2624" t="str">
        <f t="shared" si="11"/>
        <v>有无电梯</v>
      </c>
      <c r="R29" s="2609" t="s">
        <v>17</v>
      </c>
      <c r="S29" s="2598">
        <f t="shared" si="12"/>
        <v>100</v>
      </c>
      <c r="T29" s="2609" t="s">
        <v>17</v>
      </c>
      <c r="U29" s="2598">
        <f t="shared" si="13"/>
        <v>100</v>
      </c>
      <c r="V29" s="2609" t="s">
        <v>17</v>
      </c>
      <c r="W29" s="2598">
        <f t="shared" si="14"/>
        <v>100</v>
      </c>
      <c r="X29" s="2734"/>
      <c r="Y29" s="3902"/>
      <c r="Z29" s="2772" t="str">
        <f t="shared" si="15"/>
        <v>有无电梯</v>
      </c>
      <c r="AA29" s="2772">
        <f t="shared" si="3"/>
        <v>1</v>
      </c>
      <c r="AB29" s="2772">
        <f t="shared" si="4"/>
        <v>1</v>
      </c>
      <c r="AC29" s="2772">
        <f t="shared" si="5"/>
        <v>1</v>
      </c>
    </row>
    <row r="30" spans="1:29" ht="15">
      <c r="A30" s="2796"/>
      <c r="B30" s="2752" t="s">
        <v>2316</v>
      </c>
      <c r="C30" s="2788"/>
      <c r="D30" s="2551">
        <v>100</v>
      </c>
      <c r="E30" s="2788"/>
      <c r="F30" s="2811">
        <f>LOOKUP(E30,87:87,88:88)-LOOKUP(C30,87:87,88:88)+100</f>
        <v>100</v>
      </c>
      <c r="G30" s="2788"/>
      <c r="H30" s="2551">
        <f>LOOKUP(G30,87:87,88:88)-LOOKUP(C30,87:87,88:88)+100</f>
        <v>100</v>
      </c>
      <c r="I30" s="2788"/>
      <c r="J30" s="2551">
        <f>LOOKUP(I30,87:87,88:88)-LOOKUP(C30,87:87,88:88)+100</f>
        <v>100</v>
      </c>
      <c r="K30" s="2579"/>
      <c r="L30" s="2763"/>
      <c r="M30" s="2727"/>
      <c r="N30" s="2727"/>
      <c r="O30" s="3451"/>
      <c r="P30" s="3902"/>
      <c r="Q30" s="2624" t="str">
        <f t="shared" si="11"/>
        <v>建筑面积</v>
      </c>
      <c r="R30" s="2609" t="s">
        <v>17</v>
      </c>
      <c r="S30" s="2598">
        <f t="shared" si="12"/>
        <v>100</v>
      </c>
      <c r="T30" s="2609" t="s">
        <v>17</v>
      </c>
      <c r="U30" s="2598">
        <f t="shared" si="13"/>
        <v>100</v>
      </c>
      <c r="V30" s="2609" t="s">
        <v>17</v>
      </c>
      <c r="W30" s="2598">
        <f t="shared" si="14"/>
        <v>100</v>
      </c>
      <c r="X30" s="2734"/>
      <c r="Y30" s="3902"/>
      <c r="Z30" s="2772" t="str">
        <f t="shared" si="15"/>
        <v>建筑面积</v>
      </c>
      <c r="AA30" s="2772">
        <f t="shared" si="3"/>
        <v>1</v>
      </c>
      <c r="AB30" s="2772">
        <f t="shared" si="4"/>
        <v>1</v>
      </c>
      <c r="AC30" s="2772">
        <f t="shared" si="5"/>
        <v>1</v>
      </c>
    </row>
    <row r="31" spans="1:29" s="2746" customFormat="1" ht="15">
      <c r="A31" s="2797"/>
      <c r="B31" s="2752" t="s">
        <v>2317</v>
      </c>
      <c r="C31" s="2588"/>
      <c r="D31" s="2542">
        <v>100</v>
      </c>
      <c r="E31" s="2588"/>
      <c r="F31" s="2811">
        <f>SUMIF(89:89,E31,90:90)-SUMIF(89:89,C31,90:90)+100</f>
        <v>100</v>
      </c>
      <c r="G31" s="2588"/>
      <c r="H31" s="2551">
        <f>SUMIF(89:89,G31,90:90)-SUMIF(89:89,C31,90:90)+100</f>
        <v>100</v>
      </c>
      <c r="I31" s="2588"/>
      <c r="J31" s="2551">
        <f>SUMIF(89:89,I31,90:90)-SUMIF(89:89,C31,90:90)+100</f>
        <v>100</v>
      </c>
      <c r="K31" s="2580"/>
      <c r="L31" s="2739"/>
      <c r="M31" s="2740"/>
      <c r="N31" s="2740"/>
      <c r="O31" s="3449"/>
      <c r="P31" s="3902"/>
      <c r="Q31" s="2750" t="str">
        <f t="shared" si="11"/>
        <v>是否封闭</v>
      </c>
      <c r="R31" s="2741" t="s">
        <v>17</v>
      </c>
      <c r="S31" s="2744">
        <f t="shared" si="12"/>
        <v>100</v>
      </c>
      <c r="T31" s="2741" t="s">
        <v>17</v>
      </c>
      <c r="U31" s="2744">
        <f t="shared" si="13"/>
        <v>100</v>
      </c>
      <c r="V31" s="2741" t="s">
        <v>17</v>
      </c>
      <c r="W31" s="2744">
        <f t="shared" si="14"/>
        <v>100</v>
      </c>
      <c r="X31" s="2743"/>
      <c r="Y31" s="3902"/>
      <c r="Z31" s="2745" t="str">
        <f t="shared" si="15"/>
        <v>是否封闭</v>
      </c>
      <c r="AA31" s="2745">
        <f t="shared" si="3"/>
        <v>1</v>
      </c>
      <c r="AB31" s="2745">
        <f t="shared" si="4"/>
        <v>1</v>
      </c>
      <c r="AC31" s="2745">
        <f t="shared" si="5"/>
        <v>1</v>
      </c>
    </row>
    <row r="32" spans="1:29" ht="15">
      <c r="A32" s="2796"/>
      <c r="B32" s="2761">
        <v>111</v>
      </c>
      <c r="C32" s="2541"/>
      <c r="D32" s="2551">
        <v>100</v>
      </c>
      <c r="E32" s="2788"/>
      <c r="F32" s="2811">
        <f>SUMIF(91:91,E32,92:92)-SUMIF(91:91,C32,92:92)+100</f>
        <v>100</v>
      </c>
      <c r="G32" s="2788"/>
      <c r="H32" s="2551">
        <f>SUMIF(91:91,G32,92:92)-SUMIF(91:91,C32,92:92)+100</f>
        <v>100</v>
      </c>
      <c r="I32" s="2788"/>
      <c r="J32" s="2551">
        <f>SUMIF(91:91,I32,92:92)-SUMIF(91:91,C32,92:92)+100</f>
        <v>100</v>
      </c>
      <c r="K32" s="2579"/>
      <c r="L32" s="2763"/>
      <c r="M32" s="2727"/>
      <c r="N32" s="2727"/>
      <c r="O32" s="3451"/>
      <c r="P32" s="3902" t="s">
        <v>2143</v>
      </c>
      <c r="Q32" s="2624">
        <f t="shared" si="11"/>
        <v>111</v>
      </c>
      <c r="R32" s="2609" t="s">
        <v>17</v>
      </c>
      <c r="S32" s="2598">
        <f t="shared" si="12"/>
        <v>100</v>
      </c>
      <c r="T32" s="2609" t="s">
        <v>17</v>
      </c>
      <c r="U32" s="2598">
        <f t="shared" si="13"/>
        <v>100</v>
      </c>
      <c r="V32" s="2609" t="s">
        <v>17</v>
      </c>
      <c r="W32" s="2598">
        <f t="shared" si="14"/>
        <v>100</v>
      </c>
      <c r="X32" s="2734"/>
      <c r="Y32" s="3902" t="s">
        <v>2143</v>
      </c>
      <c r="Z32" s="2772">
        <f t="shared" si="15"/>
        <v>111</v>
      </c>
      <c r="AA32" s="2772">
        <f t="shared" si="3"/>
        <v>1</v>
      </c>
      <c r="AB32" s="2772">
        <f t="shared" si="4"/>
        <v>1</v>
      </c>
      <c r="AC32" s="2772">
        <f t="shared" si="5"/>
        <v>1</v>
      </c>
    </row>
    <row r="33" spans="1:30" ht="15">
      <c r="A33" s="2796"/>
      <c r="B33" s="2761">
        <v>111</v>
      </c>
      <c r="C33" s="2541"/>
      <c r="D33" s="2551">
        <v>100</v>
      </c>
      <c r="E33" s="2788"/>
      <c r="F33" s="2811">
        <f>SUMIF(93:93,E33,94:94)-SUMIF(93:93,C33,94:94)+100</f>
        <v>100</v>
      </c>
      <c r="G33" s="2788"/>
      <c r="H33" s="2551">
        <f>SUMIF(93:93,G33,94:94)-SUMIF(93:93,C33,94:94)+100</f>
        <v>100</v>
      </c>
      <c r="I33" s="2788"/>
      <c r="J33" s="2551">
        <f>SUMIF(93:93,I33,94:94)-SUMIF(93:93,C33,94:94)+100</f>
        <v>100</v>
      </c>
      <c r="K33" s="2579"/>
      <c r="L33" s="2763"/>
      <c r="M33" s="2727"/>
      <c r="N33" s="2727"/>
      <c r="O33" s="3451"/>
      <c r="P33" s="3902"/>
      <c r="Q33" s="2624">
        <f t="shared" si="11"/>
        <v>111</v>
      </c>
      <c r="R33" s="2609" t="s">
        <v>17</v>
      </c>
      <c r="S33" s="2598">
        <f t="shared" si="12"/>
        <v>100</v>
      </c>
      <c r="T33" s="2609" t="s">
        <v>17</v>
      </c>
      <c r="U33" s="2598">
        <f t="shared" si="13"/>
        <v>100</v>
      </c>
      <c r="V33" s="2609" t="s">
        <v>17</v>
      </c>
      <c r="W33" s="2598">
        <f t="shared" si="14"/>
        <v>100</v>
      </c>
      <c r="X33" s="2734"/>
      <c r="Y33" s="3902"/>
      <c r="Z33" s="2772">
        <f t="shared" si="15"/>
        <v>111</v>
      </c>
      <c r="AA33" s="2772">
        <f t="shared" si="3"/>
        <v>1</v>
      </c>
      <c r="AB33" s="2772">
        <f t="shared" si="4"/>
        <v>1</v>
      </c>
      <c r="AC33" s="2772">
        <f t="shared" si="5"/>
        <v>1</v>
      </c>
    </row>
    <row r="34" spans="1:30" ht="15.6" thickBot="1">
      <c r="A34" s="2798"/>
      <c r="B34" s="2765">
        <v>111</v>
      </c>
      <c r="C34" s="2552"/>
      <c r="D34" s="2553">
        <v>100</v>
      </c>
      <c r="E34" s="3452"/>
      <c r="F34" s="2766">
        <f>SUMIF(95:95,E34,96:96)-SUMIF(95:95,C34,96:96)+100</f>
        <v>100</v>
      </c>
      <c r="G34" s="3452"/>
      <c r="H34" s="2553">
        <f>SUMIF(95:95,G34,96:96)-SUMIF(95:95,C34,96:96)+100</f>
        <v>100</v>
      </c>
      <c r="I34" s="3452"/>
      <c r="J34" s="2553">
        <f>SUMIF(95:95,I34,96:96)-SUMIF(95:95,C34,96:96)+100</f>
        <v>100</v>
      </c>
      <c r="K34" s="2579"/>
      <c r="L34" s="2763"/>
      <c r="M34" s="2727"/>
      <c r="N34" s="2727"/>
      <c r="O34" s="3451"/>
      <c r="P34" s="3902"/>
      <c r="Q34" s="2624">
        <f t="shared" si="11"/>
        <v>111</v>
      </c>
      <c r="R34" s="2609" t="s">
        <v>17</v>
      </c>
      <c r="S34" s="2598">
        <f t="shared" si="12"/>
        <v>100</v>
      </c>
      <c r="T34" s="2609" t="s">
        <v>17</v>
      </c>
      <c r="U34" s="2598">
        <f t="shared" si="13"/>
        <v>100</v>
      </c>
      <c r="V34" s="2609" t="s">
        <v>17</v>
      </c>
      <c r="W34" s="2598">
        <f t="shared" si="14"/>
        <v>100</v>
      </c>
      <c r="X34" s="2734"/>
      <c r="Y34" s="3902"/>
      <c r="Z34" s="2772">
        <f t="shared" si="15"/>
        <v>111</v>
      </c>
      <c r="AA34" s="2772">
        <f t="shared" si="3"/>
        <v>1</v>
      </c>
      <c r="AB34" s="2772">
        <f t="shared" si="4"/>
        <v>1</v>
      </c>
      <c r="AC34" s="2772">
        <f t="shared" si="5"/>
        <v>1</v>
      </c>
    </row>
    <row r="35" spans="1:30" ht="14.4">
      <c r="A35" s="2799" t="s">
        <v>2155</v>
      </c>
      <c r="B35" s="2800"/>
      <c r="C35" s="2801" t="s">
        <v>1</v>
      </c>
      <c r="D35" s="2593"/>
      <c r="E35" s="2594">
        <v>26990</v>
      </c>
      <c r="F35" s="2595"/>
      <c r="G35" s="2596">
        <v>31350</v>
      </c>
      <c r="H35" s="2597"/>
      <c r="I35" s="2594">
        <v>30369</v>
      </c>
      <c r="J35" s="2597"/>
      <c r="K35" s="2598"/>
      <c r="L35" s="2803"/>
      <c r="M35" s="2606"/>
      <c r="N35" s="2727"/>
      <c r="O35" s="2606"/>
      <c r="P35" s="3845" t="str">
        <f>A35</f>
        <v>成交单价（元/平方米）</v>
      </c>
      <c r="Q35" s="3845"/>
      <c r="R35" s="3838">
        <f>E35</f>
        <v>26990</v>
      </c>
      <c r="S35" s="3838"/>
      <c r="T35" s="3838">
        <f>G35</f>
        <v>31350</v>
      </c>
      <c r="U35" s="3838"/>
      <c r="V35" s="3838">
        <f>I35</f>
        <v>30369</v>
      </c>
      <c r="W35" s="3838"/>
      <c r="X35" s="2613"/>
      <c r="Y35" s="2804"/>
      <c r="Z35" s="2613"/>
      <c r="AA35" s="2613"/>
      <c r="AB35" s="2613"/>
      <c r="AC35" s="2613"/>
    </row>
    <row r="36" spans="1:30" ht="15" thickBot="1">
      <c r="A36" s="2805" t="s">
        <v>2247</v>
      </c>
      <c r="B36" s="2806"/>
      <c r="C36" s="2602">
        <f>R37</f>
        <v>29570</v>
      </c>
      <c r="D36" s="2600" t="s">
        <v>2637</v>
      </c>
      <c r="E36" s="2599">
        <f>R36</f>
        <v>26990</v>
      </c>
      <c r="F36" s="2601"/>
      <c r="G36" s="2602">
        <f>T36</f>
        <v>31350</v>
      </c>
      <c r="H36" s="2601"/>
      <c r="I36" s="2599">
        <f>V36</f>
        <v>30369</v>
      </c>
      <c r="J36" s="2601"/>
      <c r="K36" s="2603">
        <f>F36+H36+J36</f>
        <v>0</v>
      </c>
      <c r="L36" s="2803"/>
      <c r="M36" s="2606"/>
      <c r="N36" s="2727"/>
      <c r="O36" s="2606"/>
      <c r="P36" s="3845" t="str">
        <f>A36</f>
        <v>比较价值（元/平方米）</v>
      </c>
      <c r="Q36" s="3845"/>
      <c r="R36" s="3838">
        <f>IF(F1="售价",ROUND(PRODUCT(R35,AA7:AA34),0),ROUND(PRODUCT(R35,AA7:AA34),1))</f>
        <v>26990</v>
      </c>
      <c r="S36" s="3838"/>
      <c r="T36" s="3838">
        <f>IF(F1="售价",ROUND(PRODUCT(T35,AB7:AB34),0),ROUND(PRODUCT(T35,AB7:AB34),1))</f>
        <v>31350</v>
      </c>
      <c r="U36" s="3838"/>
      <c r="V36" s="3838">
        <f>IF(F1="售价",ROUND(PRODUCT(V35,AC7:AC34),0),ROUND(PRODUCT(V35,AC7:AC34),1))</f>
        <v>30369</v>
      </c>
      <c r="W36" s="3838"/>
      <c r="X36" s="2613"/>
      <c r="Y36" s="2613"/>
      <c r="Z36" s="2613"/>
      <c r="AA36" s="2613"/>
      <c r="AB36" s="2613"/>
      <c r="AC36" s="2613"/>
    </row>
    <row r="37" spans="1:30" ht="15" thickBot="1">
      <c r="A37" s="2808" t="s">
        <v>2248</v>
      </c>
      <c r="B37" s="2809"/>
      <c r="C37" s="2604">
        <f>R37</f>
        <v>29570</v>
      </c>
      <c r="D37" s="2604"/>
      <c r="E37" s="2604"/>
      <c r="F37" s="2604"/>
      <c r="G37" s="2604"/>
      <c r="H37" s="2604"/>
      <c r="I37" s="2604"/>
      <c r="J37" s="2604"/>
      <c r="K37" s="2624"/>
      <c r="L37" s="2803"/>
      <c r="M37" s="2606"/>
      <c r="N37" s="2606"/>
      <c r="O37" s="2606"/>
      <c r="P37" s="3894" t="str">
        <f>A37</f>
        <v>估价对象XX用房的比较价值（楼面单价，元/平方米）</v>
      </c>
      <c r="Q37" s="3895"/>
      <c r="R37" s="3944">
        <f>IF(F1="售价",ROUND(IF(D36="简单平均",AVERAGE(R36:W36),R36*F36+T36*H36+V36*J36),0),ROUND(IF(D36="简单平均",AVERAGE(R36:V36),R36*F36+T36*H36+V36*J36),1))</f>
        <v>29570</v>
      </c>
      <c r="S37" s="3944"/>
      <c r="T37" s="3944"/>
      <c r="U37" s="3944"/>
      <c r="V37" s="3944"/>
      <c r="W37" s="3944"/>
      <c r="X37" s="2613"/>
      <c r="Y37" s="2613"/>
      <c r="Z37" s="2613"/>
      <c r="AA37" s="2613"/>
      <c r="AB37" s="2613"/>
      <c r="AC37" s="2613"/>
    </row>
    <row r="38" spans="1:30">
      <c r="A38" s="2606"/>
      <c r="B38" s="2606"/>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6"/>
      <c r="Y38" s="2606"/>
      <c r="Z38" s="2606"/>
      <c r="AA38" s="2606"/>
      <c r="AB38" s="2606"/>
      <c r="AC38" s="2606"/>
      <c r="AD38" s="2606"/>
    </row>
    <row r="39" spans="1:30">
      <c r="A39" s="2606"/>
      <c r="B39" s="2606"/>
      <c r="C39" s="2606"/>
      <c r="D39" s="2606"/>
      <c r="E39" s="2606"/>
      <c r="F39" s="2606"/>
      <c r="G39" s="2606"/>
      <c r="H39" s="2606"/>
      <c r="I39" s="2606"/>
      <c r="J39" s="2606"/>
      <c r="K39" s="2606"/>
      <c r="L39" s="2606"/>
      <c r="M39" s="2606"/>
      <c r="N39" s="2606"/>
      <c r="O39" s="2606"/>
      <c r="P39" s="2606"/>
      <c r="Q39" s="2606"/>
      <c r="R39" s="2606"/>
      <c r="S39" s="2606"/>
      <c r="T39" s="2606"/>
      <c r="U39" s="2606"/>
      <c r="V39" s="2606"/>
      <c r="W39" s="2606"/>
      <c r="X39" s="2606"/>
      <c r="Y39" s="2606"/>
      <c r="Z39" s="2606"/>
      <c r="AA39" s="2606"/>
      <c r="AB39" s="2606"/>
      <c r="AC39" s="2606"/>
      <c r="AD39" s="2606"/>
    </row>
    <row r="40" spans="1:30" ht="13.5" customHeight="1">
      <c r="A40" s="2606"/>
      <c r="B40" s="2606"/>
      <c r="C40" s="2607" t="s">
        <v>2249</v>
      </c>
      <c r="D40" s="2608"/>
      <c r="E40" s="2609">
        <f>IF(E35&lt;E36,E36/E35-1,E35/E36-1)</f>
        <v>0</v>
      </c>
      <c r="F40" s="2610" t="str">
        <f>IF(OR(E40&gt;=0.3,E40&lt;=-0.3),"超过30%","")</f>
        <v/>
      </c>
      <c r="G40" s="2609">
        <f>IF(G35&lt;G36,G36/G35-1,G35/G36-1)</f>
        <v>0</v>
      </c>
      <c r="H40" s="2610" t="str">
        <f>IF(OR(G40&gt;=0.3,G40&lt;=-0.3),"超过30%","")</f>
        <v/>
      </c>
      <c r="I40" s="2609">
        <f>IF(I35&lt;I36,I36/I35-1,I35/I36-1)</f>
        <v>0</v>
      </c>
      <c r="J40" s="2610" t="str">
        <f>IF(OR(I40&gt;=0.3,I40&lt;=-0.3),"超过30%","")</f>
        <v/>
      </c>
      <c r="K40" s="2606"/>
      <c r="L40" s="2606"/>
      <c r="M40" s="2606"/>
      <c r="N40" s="2606"/>
      <c r="O40" s="2606"/>
      <c r="P40" s="2606"/>
      <c r="Q40" s="2606"/>
      <c r="R40" s="2606"/>
      <c r="S40" s="2606"/>
      <c r="T40" s="2606"/>
      <c r="U40" s="2606"/>
      <c r="V40" s="2606"/>
      <c r="W40" s="2606"/>
      <c r="X40" s="2606"/>
      <c r="Y40" s="2606"/>
      <c r="Z40" s="2606"/>
      <c r="AA40" s="2606"/>
      <c r="AB40" s="2606"/>
      <c r="AC40" s="2606"/>
      <c r="AD40" s="2606"/>
    </row>
    <row r="41" spans="1:30" ht="13.5" customHeight="1">
      <c r="A41" s="2606"/>
      <c r="B41" s="2606"/>
      <c r="C41" s="2607" t="s">
        <v>2250</v>
      </c>
      <c r="D41" s="2611"/>
      <c r="E41" s="3438">
        <f>IF(E36&lt;G36,G36/E36-1,E36/G36-1)</f>
        <v>0.16154131159688778</v>
      </c>
      <c r="F41" s="3439" t="str">
        <f>IF(OR(E41&gt;=0.2,E41&lt;=-0.2),"超过20%","")</f>
        <v/>
      </c>
      <c r="G41" s="3438">
        <f>IF(G36&lt;I36,I36/G36-1,G36/I36-1)</f>
        <v>3.2302677072014285E-2</v>
      </c>
      <c r="H41" s="3439" t="str">
        <f>IF(OR(G41&gt;=0.2,G41&lt;=-0.2),"超过20%","")</f>
        <v/>
      </c>
      <c r="I41" s="3438">
        <f>IF(I36&lt;E36,E36/I36-1,I36/E36-1)</f>
        <v>0.12519451648758806</v>
      </c>
      <c r="J41" s="3439" t="str">
        <f>IF(OR(I41&gt;=0.2,I41&lt;=-0.2),"超过20%","")</f>
        <v/>
      </c>
      <c r="K41" s="2606"/>
      <c r="L41" s="2606"/>
      <c r="M41" s="2606"/>
      <c r="N41" s="2606"/>
      <c r="O41" s="2606"/>
      <c r="P41" s="2606"/>
      <c r="Q41" s="2606"/>
      <c r="R41" s="2606"/>
      <c r="S41" s="2606"/>
      <c r="T41" s="2606"/>
      <c r="U41" s="2606"/>
      <c r="V41" s="2606"/>
      <c r="W41" s="2606"/>
      <c r="X41" s="2606"/>
      <c r="Y41" s="2606"/>
      <c r="Z41" s="2606"/>
      <c r="AA41" s="2606"/>
      <c r="AB41" s="2606"/>
      <c r="AC41" s="2606"/>
      <c r="AD41" s="2606"/>
    </row>
    <row r="42" spans="1:30" s="2814" customFormat="1" ht="13.5" customHeight="1">
      <c r="A42" s="2612"/>
      <c r="B42" s="2612"/>
      <c r="C42" s="2607" t="s">
        <v>2251</v>
      </c>
      <c r="D42" s="2611"/>
      <c r="E42" s="3438">
        <f>IF(E35&lt;G35,G35/E35-1,E35/G35-1)</f>
        <v>0.16154131159688778</v>
      </c>
      <c r="F42" s="3439" t="str">
        <f>IF(OR(E42&gt;=0.3,E42&lt;=-0.3),"超过30%","")</f>
        <v/>
      </c>
      <c r="G42" s="3438">
        <f>IF(G35&lt;I35,I35/G35-1,G35/I35-1)</f>
        <v>3.2302677072014285E-2</v>
      </c>
      <c r="H42" s="3439" t="str">
        <f>IF(OR(G42&gt;=0.3,G42&lt;=-0.3),"超过30%","")</f>
        <v/>
      </c>
      <c r="I42" s="3438">
        <f>IF(I35&lt;E35,E35/I35-1,I35/E35-1)</f>
        <v>0.12519451648758806</v>
      </c>
      <c r="J42" s="3439" t="str">
        <f>IF(OR(I42&gt;=0.3,I42&lt;=-0.3),"超过30%","")</f>
        <v/>
      </c>
      <c r="K42" s="2612"/>
      <c r="L42" s="2612"/>
      <c r="M42" s="2612"/>
      <c r="N42" s="2612"/>
      <c r="O42" s="2612"/>
      <c r="P42" s="2612"/>
      <c r="Q42" s="2612"/>
      <c r="R42" s="2612"/>
      <c r="S42" s="2612"/>
      <c r="T42" s="2612"/>
      <c r="U42" s="2612"/>
      <c r="V42" s="2612"/>
      <c r="W42" s="2612"/>
      <c r="X42" s="2612"/>
      <c r="Y42" s="2612"/>
      <c r="Z42" s="2612"/>
      <c r="AA42" s="2612"/>
      <c r="AB42" s="2612"/>
      <c r="AC42" s="2612"/>
      <c r="AD42" s="2612"/>
    </row>
    <row r="43" spans="1:30" s="2814" customFormat="1">
      <c r="A43" s="2612"/>
      <c r="B43" s="2606"/>
      <c r="C43" s="2606"/>
      <c r="D43" s="2612"/>
      <c r="E43" s="2612"/>
      <c r="F43" s="2612"/>
      <c r="G43" s="2612"/>
      <c r="H43" s="2612"/>
      <c r="I43" s="2612"/>
      <c r="J43" s="2612"/>
      <c r="K43" s="2612"/>
      <c r="L43" s="2612"/>
      <c r="M43" s="2612"/>
      <c r="N43" s="2612"/>
      <c r="O43" s="2612"/>
      <c r="P43" s="2612"/>
      <c r="Q43" s="2612"/>
      <c r="R43" s="2612"/>
      <c r="S43" s="2612"/>
      <c r="T43" s="2612"/>
      <c r="U43" s="2612"/>
      <c r="V43" s="2612"/>
      <c r="W43" s="2612"/>
      <c r="X43" s="2612"/>
      <c r="Y43" s="2612"/>
      <c r="Z43" s="2612"/>
      <c r="AA43" s="2612"/>
      <c r="AB43" s="2612"/>
      <c r="AC43" s="2612"/>
      <c r="AD43" s="2612"/>
    </row>
    <row r="44" spans="1:30">
      <c r="A44" s="2606"/>
      <c r="B44" s="2606"/>
      <c r="C44" s="2606"/>
      <c r="D44" s="2606"/>
      <c r="E44" s="2606"/>
      <c r="F44" s="2606"/>
      <c r="G44" s="2606"/>
      <c r="H44" s="2606"/>
      <c r="I44" s="2606"/>
      <c r="J44" s="2606"/>
      <c r="K44" s="2606"/>
      <c r="L44" s="2606"/>
      <c r="M44" s="2606"/>
      <c r="N44" s="2606"/>
      <c r="O44" s="2606"/>
      <c r="P44" s="2606"/>
      <c r="Q44" s="2606"/>
      <c r="R44" s="2606"/>
      <c r="S44" s="2606"/>
      <c r="T44" s="2606"/>
      <c r="U44" s="2606"/>
      <c r="V44" s="2606"/>
      <c r="W44" s="2606"/>
      <c r="X44" s="2606"/>
      <c r="Y44" s="2606"/>
      <c r="Z44" s="2606"/>
      <c r="AA44" s="2606"/>
      <c r="AB44" s="2606"/>
      <c r="AC44" s="2606"/>
      <c r="AD44" s="2606"/>
    </row>
    <row r="45" spans="1:30" ht="22.2" thickBot="1">
      <c r="A45" s="2815" t="s">
        <v>2252</v>
      </c>
      <c r="B45" s="2613"/>
      <c r="C45" s="2644"/>
      <c r="D45" s="2644"/>
      <c r="E45" s="2644"/>
      <c r="F45" s="2645"/>
      <c r="G45" s="2645"/>
      <c r="H45" s="2644"/>
      <c r="I45" s="2644"/>
      <c r="J45" s="2644"/>
      <c r="K45" s="2645"/>
      <c r="L45" s="2644"/>
      <c r="M45" s="2644"/>
      <c r="N45" s="3461"/>
      <c r="O45" s="3461"/>
      <c r="P45" s="3461"/>
      <c r="Q45" s="2739"/>
      <c r="R45" s="2606"/>
      <c r="S45" s="2606"/>
      <c r="T45" s="2606"/>
      <c r="U45" s="2606"/>
      <c r="V45" s="2606"/>
      <c r="W45" s="2606"/>
      <c r="X45" s="2606"/>
      <c r="Y45" s="2606"/>
      <c r="Z45" s="2606"/>
      <c r="AA45" s="2606"/>
      <c r="AB45" s="2606"/>
      <c r="AC45" s="2606"/>
      <c r="AD45" s="2606"/>
    </row>
    <row r="46" spans="1:30" s="2746" customFormat="1" ht="14.4">
      <c r="A46" s="2818" t="s">
        <v>2126</v>
      </c>
      <c r="B46" s="2819"/>
      <c r="C46" s="2648" t="str">
        <f>YEAR(C7)&amp;"-"&amp;MONTH(C7)</f>
        <v>2022-8</v>
      </c>
      <c r="D46" s="3597">
        <f>EDATE(C46,-1)</f>
        <v>44743</v>
      </c>
      <c r="E46" s="3597">
        <f t="shared" ref="E46:O46" si="16">EDATE(D46,-1)</f>
        <v>44713</v>
      </c>
      <c r="F46" s="3597">
        <f t="shared" si="16"/>
        <v>44682</v>
      </c>
      <c r="G46" s="3597">
        <f t="shared" si="16"/>
        <v>44652</v>
      </c>
      <c r="H46" s="3597">
        <f t="shared" si="16"/>
        <v>44621</v>
      </c>
      <c r="I46" s="3597">
        <f t="shared" si="16"/>
        <v>44593</v>
      </c>
      <c r="J46" s="3597">
        <f t="shared" si="16"/>
        <v>44562</v>
      </c>
      <c r="K46" s="3597">
        <f t="shared" si="16"/>
        <v>44531</v>
      </c>
      <c r="L46" s="3597">
        <f t="shared" si="16"/>
        <v>44501</v>
      </c>
      <c r="M46" s="3597">
        <f t="shared" si="16"/>
        <v>44470</v>
      </c>
      <c r="N46" s="3597">
        <f t="shared" si="16"/>
        <v>44440</v>
      </c>
      <c r="O46" s="3597">
        <f t="shared" si="16"/>
        <v>44409</v>
      </c>
      <c r="P46" s="2740"/>
      <c r="Q46" s="3043"/>
      <c r="R46" s="3043"/>
      <c r="S46" s="3043"/>
      <c r="T46" s="3043"/>
      <c r="U46" s="3043"/>
      <c r="V46" s="3043"/>
      <c r="W46" s="3043"/>
      <c r="X46" s="3043"/>
      <c r="Y46" s="3043"/>
      <c r="Z46" s="3043"/>
      <c r="AA46" s="3043"/>
      <c r="AB46" s="3043"/>
      <c r="AC46" s="3043"/>
      <c r="AD46" s="3043"/>
    </row>
    <row r="47" spans="1:30" s="2746" customFormat="1">
      <c r="A47" s="2822"/>
      <c r="B47" s="2831"/>
      <c r="C47" s="2824">
        <v>100</v>
      </c>
      <c r="D47" s="2656">
        <v>100</v>
      </c>
      <c r="E47" s="2656"/>
      <c r="F47" s="2656"/>
      <c r="G47" s="2656"/>
      <c r="H47" s="2656"/>
      <c r="I47" s="2656"/>
      <c r="J47" s="2656"/>
      <c r="K47" s="2656"/>
      <c r="L47" s="2656"/>
      <c r="M47" s="2761"/>
      <c r="N47" s="2656"/>
      <c r="O47" s="2836"/>
      <c r="P47" s="2739"/>
      <c r="Q47" s="3043"/>
      <c r="R47" s="3043"/>
      <c r="S47" s="3043"/>
      <c r="T47" s="3043"/>
      <c r="U47" s="3043"/>
      <c r="V47" s="3043"/>
      <c r="W47" s="3043"/>
      <c r="X47" s="3043"/>
      <c r="Y47" s="3043"/>
      <c r="Z47" s="3043"/>
      <c r="AA47" s="3043"/>
      <c r="AB47" s="3043"/>
      <c r="AC47" s="3043"/>
      <c r="AD47" s="3043"/>
    </row>
    <row r="48" spans="1:30" s="2746" customFormat="1" ht="15" thickBot="1">
      <c r="A48" s="2827" t="s">
        <v>2163</v>
      </c>
      <c r="B48" s="2828"/>
      <c r="C48" s="2651"/>
      <c r="D48" s="2652"/>
      <c r="E48" s="2652"/>
      <c r="F48" s="2652"/>
      <c r="G48" s="2652"/>
      <c r="H48" s="2652"/>
      <c r="I48" s="2652"/>
      <c r="J48" s="2652"/>
      <c r="K48" s="2652"/>
      <c r="L48" s="2652"/>
      <c r="M48" s="2829"/>
      <c r="N48" s="2652"/>
      <c r="O48" s="3462"/>
      <c r="P48" s="2739"/>
      <c r="Q48" s="2739"/>
      <c r="R48" s="3043"/>
      <c r="S48" s="3043"/>
      <c r="T48" s="3043"/>
      <c r="U48" s="3043"/>
      <c r="V48" s="3043"/>
      <c r="W48" s="3043"/>
      <c r="X48" s="3043"/>
      <c r="Y48" s="3043"/>
      <c r="Z48" s="3043"/>
      <c r="AA48" s="3043"/>
      <c r="AB48" s="3043"/>
      <c r="AC48" s="3043"/>
      <c r="AD48" s="3043"/>
    </row>
    <row r="49" spans="1:30" s="2746" customFormat="1" ht="14.4">
      <c r="A49" s="2830" t="s">
        <v>2128</v>
      </c>
      <c r="B49" s="2831"/>
      <c r="C49" s="2653" t="s">
        <v>2230</v>
      </c>
      <c r="D49" s="2654"/>
      <c r="E49" s="2654"/>
      <c r="F49" s="2654"/>
      <c r="G49" s="2654"/>
      <c r="H49" s="2654"/>
      <c r="I49" s="2654"/>
      <c r="J49" s="2654"/>
      <c r="K49" s="2654"/>
      <c r="L49" s="2832"/>
      <c r="M49" s="2833"/>
      <c r="N49" s="2739"/>
      <c r="O49" s="2739"/>
      <c r="P49" s="3463"/>
      <c r="Q49" s="2739"/>
      <c r="R49" s="3043"/>
      <c r="S49" s="3043"/>
      <c r="T49" s="3043"/>
      <c r="U49" s="3043"/>
      <c r="V49" s="3043"/>
      <c r="W49" s="3043"/>
      <c r="X49" s="3043"/>
      <c r="Y49" s="3043"/>
      <c r="Z49" s="3043"/>
      <c r="AA49" s="3043"/>
      <c r="AB49" s="3043"/>
      <c r="AC49" s="3043"/>
      <c r="AD49" s="3043"/>
    </row>
    <row r="50" spans="1:30" s="2746" customFormat="1" ht="14.4" thickBot="1">
      <c r="A50" s="2830"/>
      <c r="B50" s="2831"/>
      <c r="C50" s="2655">
        <v>100</v>
      </c>
      <c r="D50" s="2656"/>
      <c r="E50" s="2656"/>
      <c r="F50" s="2656"/>
      <c r="G50" s="2656"/>
      <c r="H50" s="2656"/>
      <c r="I50" s="2656"/>
      <c r="J50" s="2656"/>
      <c r="K50" s="2656"/>
      <c r="L50" s="2656"/>
      <c r="M50" s="2836"/>
      <c r="N50" s="2739"/>
      <c r="O50" s="2739"/>
      <c r="P50" s="2739"/>
      <c r="Q50" s="2739"/>
      <c r="R50" s="3043"/>
      <c r="S50" s="3043"/>
      <c r="T50" s="3043"/>
      <c r="U50" s="3043"/>
      <c r="V50" s="3043"/>
      <c r="W50" s="3043"/>
      <c r="X50" s="3043"/>
      <c r="Y50" s="3043"/>
      <c r="Z50" s="3043"/>
      <c r="AA50" s="3043"/>
      <c r="AB50" s="3043"/>
      <c r="AC50" s="3043"/>
      <c r="AD50" s="3043"/>
    </row>
    <row r="51" spans="1:30" ht="14.4">
      <c r="A51" s="2767" t="s">
        <v>2166</v>
      </c>
      <c r="B51" s="2837" t="s">
        <v>2132</v>
      </c>
      <c r="C51" s="2674" t="str">
        <f>C9</f>
        <v>仓储</v>
      </c>
      <c r="D51" s="2658"/>
      <c r="E51" s="2658"/>
      <c r="F51" s="2658"/>
      <c r="G51" s="2658"/>
      <c r="H51" s="2658"/>
      <c r="I51" s="2658"/>
      <c r="J51" s="2658"/>
      <c r="K51" s="2659"/>
      <c r="L51" s="2838"/>
      <c r="M51" s="2839"/>
      <c r="N51" s="2763"/>
      <c r="O51" s="2763"/>
      <c r="P51" s="2739"/>
      <c r="Q51" s="2739"/>
      <c r="R51" s="2606"/>
      <c r="S51" s="2606"/>
      <c r="T51" s="2606"/>
      <c r="U51" s="2606"/>
      <c r="V51" s="2606"/>
      <c r="W51" s="2606"/>
      <c r="X51" s="2606"/>
      <c r="Y51" s="2606"/>
      <c r="Z51" s="2606"/>
      <c r="AA51" s="2606"/>
      <c r="AB51" s="2606"/>
      <c r="AC51" s="2606"/>
      <c r="AD51" s="2606"/>
    </row>
    <row r="52" spans="1:30" ht="14.4" thickBot="1">
      <c r="A52" s="2758"/>
      <c r="B52" s="2841"/>
      <c r="C52" s="2660">
        <v>100</v>
      </c>
      <c r="D52" s="2660"/>
      <c r="E52" s="2660"/>
      <c r="F52" s="2660"/>
      <c r="G52" s="2660"/>
      <c r="H52" s="2660"/>
      <c r="I52" s="2660"/>
      <c r="J52" s="2660"/>
      <c r="K52" s="2660"/>
      <c r="L52" s="2660"/>
      <c r="M52" s="2842"/>
      <c r="N52" s="3464"/>
      <c r="O52" s="3464"/>
      <c r="P52" s="2739"/>
      <c r="Q52" s="2739"/>
      <c r="R52" s="2606"/>
      <c r="S52" s="2606"/>
      <c r="T52" s="2606"/>
      <c r="U52" s="2606"/>
      <c r="V52" s="2606"/>
      <c r="W52" s="2606"/>
      <c r="X52" s="2606"/>
      <c r="Y52" s="2606"/>
      <c r="Z52" s="2606"/>
      <c r="AA52" s="2606"/>
      <c r="AB52" s="2606"/>
      <c r="AC52" s="2606"/>
      <c r="AD52" s="2606"/>
    </row>
    <row r="53" spans="1:30" ht="29.4" thickTop="1">
      <c r="A53" s="2758"/>
      <c r="B53" s="2844" t="s">
        <v>2135</v>
      </c>
      <c r="C53" s="2661" t="s">
        <v>2167</v>
      </c>
      <c r="D53" s="2661" t="s">
        <v>2168</v>
      </c>
      <c r="E53" s="2661" t="s">
        <v>2169</v>
      </c>
      <c r="F53" s="2661" t="s">
        <v>2170</v>
      </c>
      <c r="G53" s="2661" t="s">
        <v>2171</v>
      </c>
      <c r="H53" s="2661" t="s">
        <v>2172</v>
      </c>
      <c r="I53" s="2661" t="s">
        <v>2173</v>
      </c>
      <c r="J53" s="2661"/>
      <c r="K53" s="2662"/>
      <c r="L53" s="2845"/>
      <c r="M53" s="2846"/>
      <c r="N53" s="2763"/>
      <c r="O53" s="2763"/>
      <c r="P53" s="2739"/>
      <c r="Q53" s="2739"/>
      <c r="R53" s="2606"/>
      <c r="S53" s="2606"/>
      <c r="T53" s="2606"/>
      <c r="U53" s="2606"/>
      <c r="V53" s="2606"/>
      <c r="W53" s="2606"/>
      <c r="X53" s="2606"/>
      <c r="Y53" s="2606"/>
      <c r="Z53" s="2606"/>
      <c r="AA53" s="2606"/>
      <c r="AB53" s="2606"/>
      <c r="AC53" s="2606"/>
      <c r="AD53" s="2606"/>
    </row>
    <row r="54" spans="1:30" ht="14.4" thickBot="1">
      <c r="A54" s="2758"/>
      <c r="B54" s="2847"/>
      <c r="C54" s="2663" t="s">
        <v>24</v>
      </c>
      <c r="D54" s="2663" t="s">
        <v>25</v>
      </c>
      <c r="E54" s="2663">
        <v>100</v>
      </c>
      <c r="F54" s="2663">
        <f>E54-$K10</f>
        <v>99</v>
      </c>
      <c r="G54" s="2663">
        <f>F54-$K10</f>
        <v>98</v>
      </c>
      <c r="H54" s="2663">
        <f>G54-$K10</f>
        <v>97</v>
      </c>
      <c r="I54" s="2663">
        <f>H54-$K10</f>
        <v>96</v>
      </c>
      <c r="J54" s="2663"/>
      <c r="K54" s="2663"/>
      <c r="L54" s="2663"/>
      <c r="M54" s="2848"/>
      <c r="N54" s="3464"/>
      <c r="O54" s="3464"/>
      <c r="P54" s="2739"/>
      <c r="Q54" s="2739"/>
      <c r="R54" s="2606"/>
      <c r="S54" s="2606"/>
      <c r="T54" s="2606"/>
      <c r="U54" s="2606"/>
      <c r="V54" s="2606"/>
      <c r="W54" s="2606"/>
      <c r="X54" s="2606"/>
      <c r="Y54" s="2606"/>
      <c r="Z54" s="2606"/>
      <c r="AA54" s="2606"/>
      <c r="AB54" s="2606"/>
      <c r="AC54" s="2606"/>
      <c r="AD54" s="2606"/>
    </row>
    <row r="55" spans="1:30" ht="14.4" thickTop="1">
      <c r="A55" s="2758"/>
      <c r="B55" s="2775">
        <f>B11</f>
        <v>111</v>
      </c>
      <c r="C55" s="2554"/>
      <c r="D55" s="2554"/>
      <c r="E55" s="2554"/>
      <c r="F55" s="2554"/>
      <c r="G55" s="2554"/>
      <c r="H55" s="2554"/>
      <c r="I55" s="2554"/>
      <c r="J55" s="2554"/>
      <c r="K55" s="2665"/>
      <c r="L55" s="2850"/>
      <c r="M55" s="2851"/>
      <c r="N55" s="2763"/>
      <c r="O55" s="2763"/>
      <c r="P55" s="2739"/>
      <c r="Q55" s="2739"/>
      <c r="R55" s="2606"/>
      <c r="S55" s="2606"/>
      <c r="T55" s="2606"/>
      <c r="U55" s="2606"/>
      <c r="V55" s="2606"/>
      <c r="W55" s="2606"/>
      <c r="X55" s="2606"/>
      <c r="Y55" s="2606"/>
      <c r="Z55" s="2606"/>
      <c r="AA55" s="2606"/>
      <c r="AB55" s="2606"/>
      <c r="AC55" s="2606"/>
      <c r="AD55" s="2606"/>
    </row>
    <row r="56" spans="1:30" ht="14.4" thickBot="1">
      <c r="A56" s="2758"/>
      <c r="B56" s="2841"/>
      <c r="C56" s="2668"/>
      <c r="D56" s="2660"/>
      <c r="E56" s="2660"/>
      <c r="F56" s="2660"/>
      <c r="G56" s="2660"/>
      <c r="H56" s="2660"/>
      <c r="I56" s="2660"/>
      <c r="J56" s="2660"/>
      <c r="K56" s="2660"/>
      <c r="L56" s="2660"/>
      <c r="M56" s="2842"/>
      <c r="N56" s="3464"/>
      <c r="O56" s="3464"/>
      <c r="P56" s="2739"/>
      <c r="Q56" s="2739"/>
      <c r="R56" s="2606"/>
      <c r="S56" s="2606"/>
      <c r="T56" s="2606"/>
      <c r="U56" s="2606"/>
      <c r="V56" s="2606"/>
      <c r="W56" s="2606"/>
      <c r="X56" s="2606"/>
      <c r="Y56" s="2606"/>
      <c r="Z56" s="2606"/>
      <c r="AA56" s="2606"/>
      <c r="AB56" s="2606"/>
      <c r="AC56" s="2606"/>
      <c r="AD56" s="2606"/>
    </row>
    <row r="57" spans="1:30" s="2795" customFormat="1" ht="14.4" thickTop="1">
      <c r="A57" s="2852"/>
      <c r="B57" s="2844">
        <f>B12</f>
        <v>111</v>
      </c>
      <c r="C57" s="2554"/>
      <c r="D57" s="2554"/>
      <c r="E57" s="2554"/>
      <c r="F57" s="2554"/>
      <c r="G57" s="2666"/>
      <c r="H57" s="2667"/>
      <c r="I57" s="2667"/>
      <c r="J57" s="2667"/>
      <c r="K57" s="2667"/>
      <c r="L57" s="2853"/>
      <c r="M57" s="2854"/>
      <c r="N57" s="2759"/>
      <c r="O57" s="2759"/>
      <c r="P57" s="2759"/>
      <c r="Q57" s="2759"/>
      <c r="R57" s="3465"/>
      <c r="S57" s="3465"/>
      <c r="T57" s="3465"/>
      <c r="U57" s="3465"/>
      <c r="V57" s="3465"/>
      <c r="W57" s="3465"/>
      <c r="X57" s="3465"/>
      <c r="Y57" s="3465"/>
      <c r="Z57" s="3465"/>
      <c r="AA57" s="3465"/>
      <c r="AB57" s="3465"/>
      <c r="AC57" s="3465"/>
      <c r="AD57" s="3465"/>
    </row>
    <row r="58" spans="1:30" s="2795" customFormat="1" ht="14.4" thickBot="1">
      <c r="A58" s="2852"/>
      <c r="B58" s="2847"/>
      <c r="C58" s="2668"/>
      <c r="D58" s="2660"/>
      <c r="E58" s="2660"/>
      <c r="F58" s="2660"/>
      <c r="G58" s="2660"/>
      <c r="H58" s="2660"/>
      <c r="I58" s="2660"/>
      <c r="J58" s="2660"/>
      <c r="K58" s="2660"/>
      <c r="L58" s="2660"/>
      <c r="M58" s="2842"/>
      <c r="N58" s="3464"/>
      <c r="O58" s="3464"/>
      <c r="P58" s="2759"/>
      <c r="Q58" s="2759"/>
      <c r="R58" s="3465"/>
      <c r="S58" s="3465"/>
      <c r="T58" s="3465"/>
      <c r="U58" s="3465"/>
      <c r="V58" s="3465"/>
      <c r="W58" s="3465"/>
      <c r="X58" s="3465"/>
      <c r="Y58" s="3465"/>
      <c r="Z58" s="3465"/>
      <c r="AA58" s="3465"/>
      <c r="AB58" s="3465"/>
      <c r="AC58" s="3465"/>
      <c r="AD58" s="3465"/>
    </row>
    <row r="59" spans="1:30" s="2795" customFormat="1" ht="14.4" thickTop="1">
      <c r="A59" s="2852"/>
      <c r="B59" s="2844">
        <f>B13</f>
        <v>111</v>
      </c>
      <c r="C59" s="2554"/>
      <c r="D59" s="2554"/>
      <c r="E59" s="2554"/>
      <c r="F59" s="2554"/>
      <c r="G59" s="2666"/>
      <c r="H59" s="2667"/>
      <c r="I59" s="2667"/>
      <c r="J59" s="2667"/>
      <c r="K59" s="2667"/>
      <c r="L59" s="2853"/>
      <c r="M59" s="2854"/>
      <c r="N59" s="2759"/>
      <c r="O59" s="2759"/>
      <c r="P59" s="2789"/>
      <c r="Q59" s="2789"/>
      <c r="R59" s="3465"/>
      <c r="S59" s="3465"/>
      <c r="T59" s="3465"/>
      <c r="U59" s="3465"/>
      <c r="V59" s="3465"/>
      <c r="W59" s="3465"/>
      <c r="X59" s="3465"/>
      <c r="Y59" s="3465"/>
      <c r="Z59" s="3465"/>
      <c r="AA59" s="3465"/>
      <c r="AB59" s="3465"/>
      <c r="AC59" s="3465"/>
      <c r="AD59" s="3465"/>
    </row>
    <row r="60" spans="1:30" s="2795" customFormat="1" ht="14.4" thickBot="1">
      <c r="A60" s="2852"/>
      <c r="B60" s="2847"/>
      <c r="C60" s="2668"/>
      <c r="D60" s="2668"/>
      <c r="E60" s="2668"/>
      <c r="F60" s="2668"/>
      <c r="G60" s="2668"/>
      <c r="H60" s="2669"/>
      <c r="I60" s="2669"/>
      <c r="J60" s="2669"/>
      <c r="K60" s="2669"/>
      <c r="L60" s="2669"/>
      <c r="M60" s="2860"/>
      <c r="N60" s="2759"/>
      <c r="O60" s="2759"/>
      <c r="P60" s="2759"/>
      <c r="Q60" s="2759"/>
      <c r="R60" s="3465"/>
      <c r="S60" s="3465"/>
      <c r="T60" s="3465"/>
      <c r="U60" s="3465"/>
      <c r="V60" s="3465"/>
      <c r="W60" s="3465"/>
      <c r="X60" s="3465"/>
      <c r="Y60" s="3465"/>
      <c r="Z60" s="3465"/>
      <c r="AA60" s="3465"/>
      <c r="AB60" s="3465"/>
      <c r="AC60" s="3465"/>
      <c r="AD60" s="3465"/>
    </row>
    <row r="61" spans="1:30" ht="15" thickTop="1">
      <c r="A61" s="2767" t="s">
        <v>2137</v>
      </c>
      <c r="B61" s="2837" t="s">
        <v>2180</v>
      </c>
      <c r="C61" s="2673" t="s">
        <v>2175</v>
      </c>
      <c r="D61" s="2673" t="s">
        <v>2176</v>
      </c>
      <c r="E61" s="2673" t="s">
        <v>2177</v>
      </c>
      <c r="F61" s="2673" t="s">
        <v>2178</v>
      </c>
      <c r="G61" s="2673" t="s">
        <v>2179</v>
      </c>
      <c r="H61" s="2674"/>
      <c r="I61" s="2674"/>
      <c r="J61" s="2674"/>
      <c r="K61" s="2675"/>
      <c r="L61" s="2867"/>
      <c r="M61" s="2868"/>
      <c r="N61" s="2763"/>
      <c r="O61" s="2763"/>
      <c r="P61" s="2726"/>
      <c r="Q61" s="2739"/>
      <c r="R61" s="2606"/>
      <c r="S61" s="2606"/>
      <c r="T61" s="2606"/>
      <c r="U61" s="2606"/>
      <c r="V61" s="2606"/>
      <c r="W61" s="2606"/>
      <c r="X61" s="2606"/>
      <c r="Y61" s="2606"/>
      <c r="Z61" s="2606"/>
      <c r="AA61" s="2606"/>
      <c r="AB61" s="2606"/>
      <c r="AC61" s="2606"/>
      <c r="AD61" s="2606"/>
    </row>
    <row r="62" spans="1:30" ht="14.4" thickBot="1">
      <c r="A62" s="2758"/>
      <c r="B62" s="2847"/>
      <c r="C62" s="2663">
        <v>100</v>
      </c>
      <c r="D62" s="2663">
        <f>C62-$K14</f>
        <v>99</v>
      </c>
      <c r="E62" s="2663">
        <f>D62-$K14</f>
        <v>98</v>
      </c>
      <c r="F62" s="2663">
        <f>E62-$K14</f>
        <v>97</v>
      </c>
      <c r="G62" s="2663">
        <f>F62-$K14</f>
        <v>96</v>
      </c>
      <c r="H62" s="2663"/>
      <c r="I62" s="2663"/>
      <c r="J62" s="2663"/>
      <c r="K62" s="2663"/>
      <c r="L62" s="2663"/>
      <c r="M62" s="2848"/>
      <c r="N62" s="3464"/>
      <c r="O62" s="3464"/>
      <c r="P62" s="2739"/>
      <c r="Q62" s="2739"/>
      <c r="R62" s="2606"/>
      <c r="S62" s="2606"/>
      <c r="T62" s="2606"/>
      <c r="U62" s="2606"/>
      <c r="V62" s="2606"/>
      <c r="W62" s="2606"/>
      <c r="X62" s="2606"/>
      <c r="Y62" s="2606"/>
      <c r="Z62" s="2606"/>
      <c r="AA62" s="2606"/>
      <c r="AB62" s="2606"/>
      <c r="AC62" s="2606"/>
      <c r="AD62" s="2606"/>
    </row>
    <row r="63" spans="1:30" ht="29.4" thickTop="1">
      <c r="A63" s="2758"/>
      <c r="B63" s="2844" t="s">
        <v>2318</v>
      </c>
      <c r="C63" s="2676" t="s">
        <v>2175</v>
      </c>
      <c r="D63" s="2676" t="s">
        <v>2176</v>
      </c>
      <c r="E63" s="2676" t="s">
        <v>2177</v>
      </c>
      <c r="F63" s="2676" t="s">
        <v>2178</v>
      </c>
      <c r="G63" s="2676" t="s">
        <v>2179</v>
      </c>
      <c r="H63" s="2661"/>
      <c r="I63" s="2661"/>
      <c r="J63" s="2661"/>
      <c r="K63" s="2662"/>
      <c r="L63" s="2845"/>
      <c r="M63" s="2846"/>
      <c r="N63" s="2763"/>
      <c r="O63" s="2763"/>
      <c r="P63" s="2739"/>
      <c r="Q63" s="2739"/>
      <c r="R63" s="2606"/>
      <c r="S63" s="2606"/>
      <c r="T63" s="2606"/>
      <c r="U63" s="2606"/>
      <c r="V63" s="2606"/>
      <c r="W63" s="2606"/>
      <c r="X63" s="2606"/>
      <c r="Y63" s="2606"/>
      <c r="Z63" s="2606"/>
      <c r="AA63" s="2606"/>
      <c r="AB63" s="2606"/>
      <c r="AC63" s="2606"/>
      <c r="AD63" s="2606"/>
    </row>
    <row r="64" spans="1:30" ht="14.4" thickBot="1">
      <c r="A64" s="2758"/>
      <c r="B64" s="2847"/>
      <c r="C64" s="2663">
        <v>100</v>
      </c>
      <c r="D64" s="2663">
        <f>C64-$K16</f>
        <v>99</v>
      </c>
      <c r="E64" s="2663">
        <f>D64-$K16</f>
        <v>98</v>
      </c>
      <c r="F64" s="2663">
        <f>E64-$K16</f>
        <v>97</v>
      </c>
      <c r="G64" s="2663">
        <f>F64-$K16</f>
        <v>96</v>
      </c>
      <c r="H64" s="2663"/>
      <c r="I64" s="2663"/>
      <c r="J64" s="2663"/>
      <c r="K64" s="2663"/>
      <c r="L64" s="2663"/>
      <c r="M64" s="2848"/>
      <c r="N64" s="3464"/>
      <c r="O64" s="3464"/>
      <c r="P64" s="2739"/>
      <c r="Q64" s="2739"/>
      <c r="R64" s="2606"/>
      <c r="S64" s="2606"/>
      <c r="T64" s="2606"/>
      <c r="U64" s="2606"/>
      <c r="V64" s="2606"/>
      <c r="W64" s="2606"/>
      <c r="X64" s="2606"/>
      <c r="Y64" s="2606"/>
      <c r="Z64" s="2606"/>
      <c r="AA64" s="2606"/>
      <c r="AB64" s="2606"/>
      <c r="AC64" s="2606"/>
      <c r="AD64" s="2606"/>
    </row>
    <row r="65" spans="1:30" ht="15" thickTop="1">
      <c r="A65" s="2758"/>
      <c r="B65" s="2849" t="s">
        <v>2267</v>
      </c>
      <c r="C65" s="2775" t="s">
        <v>2253</v>
      </c>
      <c r="D65" s="2775" t="s">
        <v>2254</v>
      </c>
      <c r="E65" s="2775" t="s">
        <v>2255</v>
      </c>
      <c r="F65" s="2775" t="s">
        <v>2256</v>
      </c>
      <c r="G65" s="2775" t="s">
        <v>2257</v>
      </c>
      <c r="H65" s="2661"/>
      <c r="I65" s="2661"/>
      <c r="J65" s="2661"/>
      <c r="K65" s="2661"/>
      <c r="L65" s="2661"/>
      <c r="M65" s="2870"/>
      <c r="N65" s="3464"/>
      <c r="O65" s="3464"/>
      <c r="P65" s="2739"/>
      <c r="Q65" s="2739"/>
      <c r="R65" s="2606"/>
      <c r="S65" s="2606"/>
      <c r="T65" s="2606"/>
      <c r="U65" s="2606"/>
      <c r="V65" s="2606"/>
      <c r="W65" s="2606"/>
      <c r="X65" s="2606"/>
      <c r="Y65" s="2606"/>
      <c r="Z65" s="2606"/>
      <c r="AA65" s="2606"/>
      <c r="AB65" s="2606"/>
      <c r="AC65" s="2606"/>
      <c r="AD65" s="2606"/>
    </row>
    <row r="66" spans="1:30" ht="14.4" thickBot="1">
      <c r="A66" s="2758"/>
      <c r="B66" s="2849"/>
      <c r="C66" s="2663">
        <v>100</v>
      </c>
      <c r="D66" s="2663">
        <f>C66-$K18</f>
        <v>99</v>
      </c>
      <c r="E66" s="2663">
        <f>D66-$K18</f>
        <v>98</v>
      </c>
      <c r="F66" s="2663">
        <f>E66-$K18</f>
        <v>97</v>
      </c>
      <c r="G66" s="2663">
        <f>F66-$K18</f>
        <v>96</v>
      </c>
      <c r="H66" s="2775"/>
      <c r="I66" s="2775"/>
      <c r="J66" s="2775"/>
      <c r="K66" s="2775"/>
      <c r="L66" s="2775"/>
      <c r="M66" s="2564"/>
      <c r="N66" s="3464"/>
      <c r="O66" s="3464"/>
      <c r="P66" s="2739"/>
      <c r="Q66" s="2739"/>
      <c r="R66" s="2606"/>
      <c r="S66" s="2606"/>
      <c r="T66" s="2606"/>
      <c r="U66" s="2606"/>
      <c r="V66" s="2606"/>
      <c r="W66" s="2606"/>
      <c r="X66" s="2606"/>
      <c r="Y66" s="2606"/>
      <c r="Z66" s="2606"/>
      <c r="AA66" s="2606"/>
      <c r="AB66" s="2606"/>
      <c r="AC66" s="2606"/>
      <c r="AD66" s="2606"/>
    </row>
    <row r="67" spans="1:30" ht="15" thickTop="1">
      <c r="A67" s="2758"/>
      <c r="B67" s="2844" t="s">
        <v>2187</v>
      </c>
      <c r="C67" s="2676" t="s">
        <v>2175</v>
      </c>
      <c r="D67" s="2676" t="s">
        <v>2176</v>
      </c>
      <c r="E67" s="2676" t="s">
        <v>2177</v>
      </c>
      <c r="F67" s="2676" t="s">
        <v>2178</v>
      </c>
      <c r="G67" s="2676" t="s">
        <v>2179</v>
      </c>
      <c r="H67" s="2661"/>
      <c r="I67" s="2661"/>
      <c r="J67" s="2661"/>
      <c r="K67" s="2662"/>
      <c r="L67" s="2845"/>
      <c r="M67" s="2846"/>
      <c r="N67" s="2763"/>
      <c r="O67" s="2763"/>
      <c r="P67" s="2739"/>
      <c r="Q67" s="2739"/>
      <c r="R67" s="2606"/>
      <c r="S67" s="2606"/>
      <c r="T67" s="2606"/>
      <c r="U67" s="2606"/>
      <c r="V67" s="2606"/>
      <c r="W67" s="2606"/>
      <c r="X67" s="2606"/>
      <c r="Y67" s="2606"/>
      <c r="Z67" s="2606"/>
      <c r="AA67" s="2606"/>
      <c r="AB67" s="2606"/>
      <c r="AC67" s="2606"/>
      <c r="AD67" s="2606"/>
    </row>
    <row r="68" spans="1:30" ht="14.4" thickBot="1">
      <c r="A68" s="2758"/>
      <c r="B68" s="2847"/>
      <c r="C68" s="2663">
        <v>100</v>
      </c>
      <c r="D68" s="2663">
        <f>C68-$K20</f>
        <v>99</v>
      </c>
      <c r="E68" s="2663">
        <f>D68-$K20</f>
        <v>98</v>
      </c>
      <c r="F68" s="2663">
        <f>E68-$K20</f>
        <v>97</v>
      </c>
      <c r="G68" s="2663">
        <f>F68-$K20</f>
        <v>96</v>
      </c>
      <c r="H68" s="2663"/>
      <c r="I68" s="2663"/>
      <c r="J68" s="2663"/>
      <c r="K68" s="2663"/>
      <c r="L68" s="2663"/>
      <c r="M68" s="2848"/>
      <c r="N68" s="3464"/>
      <c r="O68" s="3464"/>
      <c r="P68" s="2739"/>
      <c r="Q68" s="2739"/>
      <c r="R68" s="2606"/>
      <c r="S68" s="2606"/>
      <c r="T68" s="2606"/>
      <c r="U68" s="2606"/>
      <c r="V68" s="2606"/>
      <c r="W68" s="2606"/>
      <c r="X68" s="2606"/>
      <c r="Y68" s="2606"/>
      <c r="Z68" s="2606"/>
      <c r="AA68" s="2606"/>
      <c r="AB68" s="2606"/>
      <c r="AC68" s="2606"/>
      <c r="AD68" s="2606"/>
    </row>
    <row r="69" spans="1:30" ht="15" thickTop="1">
      <c r="A69" s="2758"/>
      <c r="B69" s="2844" t="s">
        <v>2307</v>
      </c>
      <c r="C69" s="2666"/>
      <c r="D69" s="2666"/>
      <c r="E69" s="2666"/>
      <c r="F69" s="2666"/>
      <c r="G69" s="2666"/>
      <c r="H69" s="2682"/>
      <c r="I69" s="2682"/>
      <c r="J69" s="2682"/>
      <c r="K69" s="2683"/>
      <c r="L69" s="2874"/>
      <c r="M69" s="2875"/>
      <c r="N69" s="2763"/>
      <c r="O69" s="2763"/>
      <c r="P69" s="2739"/>
      <c r="Q69" s="2739"/>
      <c r="R69" s="2606"/>
      <c r="S69" s="2606"/>
      <c r="T69" s="2606"/>
      <c r="U69" s="2606"/>
      <c r="V69" s="2606"/>
      <c r="W69" s="2606"/>
      <c r="X69" s="2606"/>
      <c r="Y69" s="2606"/>
      <c r="Z69" s="2606"/>
      <c r="AA69" s="2606"/>
      <c r="AB69" s="2606"/>
      <c r="AC69" s="2606"/>
      <c r="AD69" s="2606"/>
    </row>
    <row r="70" spans="1:30" ht="14.4" thickBot="1">
      <c r="A70" s="2758"/>
      <c r="B70" s="2847"/>
      <c r="C70" s="2663">
        <v>100</v>
      </c>
      <c r="D70" s="2663">
        <f>C70-$K22</f>
        <v>100</v>
      </c>
      <c r="E70" s="2663"/>
      <c r="F70" s="2663"/>
      <c r="G70" s="2663"/>
      <c r="H70" s="2663"/>
      <c r="I70" s="2663"/>
      <c r="J70" s="2663"/>
      <c r="K70" s="2663"/>
      <c r="L70" s="2663"/>
      <c r="M70" s="2848"/>
      <c r="N70" s="3464"/>
      <c r="O70" s="3464"/>
      <c r="P70" s="2739"/>
      <c r="Q70" s="2739"/>
      <c r="R70" s="2606"/>
      <c r="S70" s="2606"/>
      <c r="T70" s="2606"/>
      <c r="U70" s="2606"/>
      <c r="V70" s="2606"/>
      <c r="W70" s="2606"/>
      <c r="X70" s="2606"/>
      <c r="Y70" s="2606"/>
      <c r="Z70" s="2606"/>
      <c r="AA70" s="2606"/>
      <c r="AB70" s="2606"/>
      <c r="AC70" s="2606"/>
      <c r="AD70" s="2606"/>
    </row>
    <row r="71" spans="1:30" s="2746" customFormat="1" ht="14.4" thickTop="1">
      <c r="A71" s="2760"/>
      <c r="B71" s="2844">
        <f>B23</f>
        <v>111</v>
      </c>
      <c r="C71" s="2554"/>
      <c r="D71" s="2554"/>
      <c r="E71" s="2554"/>
      <c r="F71" s="2554"/>
      <c r="G71" s="2666"/>
      <c r="H71" s="2666"/>
      <c r="I71" s="2666"/>
      <c r="J71" s="2666"/>
      <c r="K71" s="2666"/>
      <c r="L71" s="2871"/>
      <c r="M71" s="2872"/>
      <c r="N71" s="2739"/>
      <c r="O71" s="2739"/>
      <c r="P71" s="2739"/>
      <c r="Q71" s="2739"/>
      <c r="R71" s="3043"/>
      <c r="S71" s="3043"/>
      <c r="T71" s="3043"/>
      <c r="U71" s="3043"/>
      <c r="V71" s="3043"/>
      <c r="W71" s="3043"/>
      <c r="X71" s="3043"/>
      <c r="Y71" s="3043"/>
      <c r="Z71" s="3043"/>
      <c r="AA71" s="3043"/>
      <c r="AB71" s="3043"/>
      <c r="AC71" s="3043"/>
      <c r="AD71" s="3043"/>
    </row>
    <row r="72" spans="1:30" s="2746" customFormat="1" ht="14.4" thickBot="1">
      <c r="A72" s="2760"/>
      <c r="B72" s="2847"/>
      <c r="C72" s="2668"/>
      <c r="D72" s="2660"/>
      <c r="E72" s="2660"/>
      <c r="F72" s="2660"/>
      <c r="G72" s="2660"/>
      <c r="H72" s="2660"/>
      <c r="I72" s="2660"/>
      <c r="J72" s="2660"/>
      <c r="K72" s="2660"/>
      <c r="L72" s="2660"/>
      <c r="M72" s="2842"/>
      <c r="N72" s="3464"/>
      <c r="O72" s="3464"/>
      <c r="P72" s="2739"/>
      <c r="Q72" s="2739"/>
      <c r="R72" s="3043"/>
      <c r="S72" s="3043"/>
      <c r="T72" s="3043"/>
      <c r="U72" s="3043"/>
      <c r="V72" s="3043"/>
      <c r="W72" s="3043"/>
      <c r="X72" s="3043"/>
      <c r="Y72" s="3043"/>
      <c r="Z72" s="3043"/>
      <c r="AA72" s="3043"/>
      <c r="AB72" s="3043"/>
      <c r="AC72" s="3043"/>
      <c r="AD72" s="3043"/>
    </row>
    <row r="73" spans="1:30" s="2746" customFormat="1" ht="14.4" thickTop="1">
      <c r="A73" s="2760"/>
      <c r="B73" s="2844">
        <f>B24</f>
        <v>111</v>
      </c>
      <c r="C73" s="2554"/>
      <c r="D73" s="2554"/>
      <c r="E73" s="2554"/>
      <c r="F73" s="2554"/>
      <c r="G73" s="2666"/>
      <c r="H73" s="2666"/>
      <c r="I73" s="2666"/>
      <c r="J73" s="2666"/>
      <c r="K73" s="2666"/>
      <c r="L73" s="2666"/>
      <c r="M73" s="2872"/>
      <c r="N73" s="2739"/>
      <c r="O73" s="2739"/>
      <c r="P73" s="2739"/>
      <c r="Q73" s="2739"/>
      <c r="R73" s="3043"/>
      <c r="S73" s="3043"/>
      <c r="T73" s="3043"/>
      <c r="U73" s="3043"/>
      <c r="V73" s="3043"/>
      <c r="W73" s="3043"/>
      <c r="X73" s="3043"/>
      <c r="Y73" s="3043"/>
      <c r="Z73" s="3043"/>
      <c r="AA73" s="3043"/>
      <c r="AB73" s="3043"/>
      <c r="AC73" s="3043"/>
      <c r="AD73" s="3043"/>
    </row>
    <row r="74" spans="1:30" s="2746" customFormat="1" ht="14.4" thickBot="1">
      <c r="A74" s="2760"/>
      <c r="B74" s="2847"/>
      <c r="C74" s="2668"/>
      <c r="D74" s="2660"/>
      <c r="E74" s="2660"/>
      <c r="F74" s="2660"/>
      <c r="G74" s="2660"/>
      <c r="H74" s="2660"/>
      <c r="I74" s="2660"/>
      <c r="J74" s="2660"/>
      <c r="K74" s="2660"/>
      <c r="L74" s="2660"/>
      <c r="M74" s="2842"/>
      <c r="N74" s="3464"/>
      <c r="O74" s="3464"/>
      <c r="P74" s="2739"/>
      <c r="Q74" s="2739"/>
      <c r="R74" s="3043"/>
      <c r="S74" s="3043"/>
      <c r="T74" s="3043"/>
      <c r="U74" s="3043"/>
      <c r="V74" s="3043"/>
      <c r="W74" s="3043"/>
      <c r="X74" s="3043"/>
      <c r="Y74" s="3043"/>
      <c r="Z74" s="3043"/>
      <c r="AA74" s="3043"/>
      <c r="AB74" s="3043"/>
      <c r="AC74" s="3043"/>
      <c r="AD74" s="3043"/>
    </row>
    <row r="75" spans="1:30" s="2795" customFormat="1" ht="14.4" thickTop="1">
      <c r="A75" s="2852"/>
      <c r="B75" s="2844">
        <f>B25</f>
        <v>111</v>
      </c>
      <c r="C75" s="2554"/>
      <c r="D75" s="2554"/>
      <c r="E75" s="2554"/>
      <c r="F75" s="2554"/>
      <c r="G75" s="2666"/>
      <c r="H75" s="2667"/>
      <c r="I75" s="2667"/>
      <c r="J75" s="2667"/>
      <c r="K75" s="2667"/>
      <c r="L75" s="2853"/>
      <c r="M75" s="2854"/>
      <c r="N75" s="2759"/>
      <c r="O75" s="2759"/>
      <c r="P75" s="2759"/>
      <c r="Q75" s="2759"/>
      <c r="R75" s="3465"/>
      <c r="S75" s="3465"/>
      <c r="T75" s="3465"/>
      <c r="U75" s="3465"/>
      <c r="V75" s="3465"/>
      <c r="W75" s="3465"/>
      <c r="X75" s="3465"/>
      <c r="Y75" s="3465"/>
      <c r="Z75" s="3465"/>
      <c r="AA75" s="3465"/>
      <c r="AB75" s="3465"/>
      <c r="AC75" s="3465"/>
      <c r="AD75" s="3465"/>
    </row>
    <row r="76" spans="1:30" s="2795" customFormat="1" ht="14.4" thickBot="1">
      <c r="A76" s="2852"/>
      <c r="B76" s="2847"/>
      <c r="C76" s="2668"/>
      <c r="D76" s="2668"/>
      <c r="E76" s="2668"/>
      <c r="F76" s="2668"/>
      <c r="G76" s="2660"/>
      <c r="H76" s="2660"/>
      <c r="I76" s="2660"/>
      <c r="J76" s="2660"/>
      <c r="K76" s="2660"/>
      <c r="L76" s="2660"/>
      <c r="M76" s="2842"/>
      <c r="N76" s="2759"/>
      <c r="O76" s="2759"/>
      <c r="P76" s="2759"/>
      <c r="Q76" s="2759"/>
      <c r="R76" s="3465"/>
      <c r="S76" s="3465"/>
      <c r="T76" s="3465"/>
      <c r="U76" s="3465"/>
      <c r="V76" s="3465"/>
      <c r="W76" s="3465"/>
      <c r="X76" s="3465"/>
      <c r="Y76" s="3465"/>
      <c r="Z76" s="3465"/>
      <c r="AA76" s="3465"/>
      <c r="AB76" s="3465"/>
      <c r="AC76" s="3465"/>
      <c r="AD76" s="3465"/>
    </row>
    <row r="77" spans="1:30" ht="15" thickTop="1">
      <c r="A77" s="2767" t="s">
        <v>2141</v>
      </c>
      <c r="B77" s="2837" t="s">
        <v>2194</v>
      </c>
      <c r="C77" s="2666"/>
      <c r="D77" s="2666"/>
      <c r="E77" s="2658"/>
      <c r="F77" s="2658"/>
      <c r="G77" s="2658"/>
      <c r="H77" s="2658"/>
      <c r="I77" s="2658"/>
      <c r="J77" s="2658"/>
      <c r="K77" s="2659"/>
      <c r="L77" s="2838"/>
      <c r="M77" s="2839"/>
      <c r="N77" s="2763"/>
      <c r="O77" s="2763"/>
      <c r="P77" s="2739"/>
      <c r="Q77" s="2739"/>
      <c r="R77" s="2606"/>
      <c r="S77" s="2606"/>
      <c r="T77" s="2606"/>
      <c r="U77" s="2606"/>
      <c r="V77" s="2606"/>
      <c r="W77" s="2606"/>
      <c r="X77" s="2606"/>
      <c r="Y77" s="2606"/>
      <c r="Z77" s="2606"/>
      <c r="AA77" s="2606"/>
      <c r="AB77" s="2606"/>
      <c r="AC77" s="2606"/>
      <c r="AD77" s="2606"/>
    </row>
    <row r="78" spans="1:30" ht="14.4" thickBot="1">
      <c r="A78" s="2758"/>
      <c r="B78" s="2847"/>
      <c r="C78" s="2663">
        <v>100</v>
      </c>
      <c r="D78" s="2663">
        <f t="shared" ref="D78:M78" si="17">C78-$K26</f>
        <v>99</v>
      </c>
      <c r="E78" s="2663">
        <f t="shared" si="17"/>
        <v>98</v>
      </c>
      <c r="F78" s="2663">
        <f t="shared" si="17"/>
        <v>97</v>
      </c>
      <c r="G78" s="2663">
        <f t="shared" si="17"/>
        <v>96</v>
      </c>
      <c r="H78" s="2663">
        <f t="shared" si="17"/>
        <v>95</v>
      </c>
      <c r="I78" s="2663">
        <f t="shared" si="17"/>
        <v>94</v>
      </c>
      <c r="J78" s="2663">
        <f t="shared" si="17"/>
        <v>93</v>
      </c>
      <c r="K78" s="2663">
        <f t="shared" si="17"/>
        <v>92</v>
      </c>
      <c r="L78" s="2663">
        <f t="shared" si="17"/>
        <v>91</v>
      </c>
      <c r="M78" s="2848">
        <f t="shared" si="17"/>
        <v>90</v>
      </c>
      <c r="N78" s="3464"/>
      <c r="O78" s="3464"/>
      <c r="P78" s="2739"/>
      <c r="Q78" s="2739"/>
      <c r="R78" s="2606"/>
      <c r="S78" s="2606"/>
      <c r="T78" s="2606"/>
      <c r="U78" s="2606"/>
      <c r="V78" s="2606"/>
      <c r="W78" s="2606"/>
      <c r="X78" s="2606"/>
      <c r="Y78" s="2606"/>
      <c r="Z78" s="2606"/>
      <c r="AA78" s="2606"/>
      <c r="AB78" s="2606"/>
      <c r="AC78" s="2606"/>
      <c r="AD78" s="2606"/>
    </row>
    <row r="79" spans="1:30" ht="15" thickTop="1">
      <c r="A79" s="2758"/>
      <c r="B79" s="2844" t="s">
        <v>2310</v>
      </c>
      <c r="C79" s="2676" t="str">
        <f>C80&amp;"(含)"&amp;"-"&amp;D80</f>
        <v>0.5(含)-0.6</v>
      </c>
      <c r="D79" s="2676" t="str">
        <f>D80&amp;"(含)"&amp;"-"&amp;E80</f>
        <v>0.6(含)-0.7</v>
      </c>
      <c r="E79" s="2676" t="str">
        <f>E80&amp;"(含)"&amp;"-"&amp;F80</f>
        <v>0.7(含)-0.8</v>
      </c>
      <c r="F79" s="2676" t="str">
        <f>F80&amp;"(含)"&amp;"-"&amp;G80</f>
        <v>0.8(含)-0.9</v>
      </c>
      <c r="G79" s="2676" t="str">
        <f>G80&amp;"(含)"&amp;"-"&amp;ROUND(H80,0)&amp;"(含)"</f>
        <v>0.9(含)-1(含)</v>
      </c>
      <c r="H79" s="2676"/>
      <c r="I79" s="2661"/>
      <c r="J79" s="2661"/>
      <c r="K79" s="2662"/>
      <c r="L79" s="2845"/>
      <c r="M79" s="2846"/>
      <c r="N79" s="2739"/>
      <c r="O79" s="2739"/>
      <c r="P79" s="2739"/>
      <c r="Q79" s="2739"/>
      <c r="R79" s="2606"/>
      <c r="S79" s="2606"/>
      <c r="T79" s="2606"/>
      <c r="U79" s="2606"/>
      <c r="V79" s="2606"/>
      <c r="W79" s="2606"/>
      <c r="X79" s="2606"/>
      <c r="Y79" s="2606"/>
      <c r="Z79" s="2606"/>
      <c r="AA79" s="2606"/>
      <c r="AB79" s="2606"/>
      <c r="AC79" s="2606"/>
      <c r="AD79" s="2606"/>
    </row>
    <row r="80" spans="1:30">
      <c r="A80" s="2758"/>
      <c r="B80" s="2849"/>
      <c r="C80" s="2750">
        <v>0.5</v>
      </c>
      <c r="D80" s="2750">
        <v>0.6</v>
      </c>
      <c r="E80" s="2750">
        <v>0.7</v>
      </c>
      <c r="F80" s="2750">
        <v>0.8</v>
      </c>
      <c r="G80" s="2750">
        <v>0.9</v>
      </c>
      <c r="H80" s="2750">
        <v>1.0001</v>
      </c>
      <c r="I80" s="2775"/>
      <c r="J80" s="2775"/>
      <c r="K80" s="3466"/>
      <c r="L80" s="3467"/>
      <c r="M80" s="3468"/>
      <c r="N80" s="2739"/>
      <c r="O80" s="2739"/>
      <c r="P80" s="2739"/>
      <c r="Q80" s="2739"/>
      <c r="R80" s="2606"/>
      <c r="S80" s="2606"/>
      <c r="T80" s="2606"/>
      <c r="U80" s="2606"/>
      <c r="V80" s="2606"/>
      <c r="W80" s="2606"/>
      <c r="X80" s="2606"/>
      <c r="Y80" s="2606"/>
      <c r="Z80" s="2606"/>
      <c r="AA80" s="2606"/>
      <c r="AB80" s="2606"/>
      <c r="AC80" s="2606"/>
      <c r="AD80" s="2606"/>
    </row>
    <row r="81" spans="1:30" s="2795" customFormat="1" ht="14.4" thickBot="1">
      <c r="A81" s="2852"/>
      <c r="B81" s="2847"/>
      <c r="C81" s="2677">
        <v>100</v>
      </c>
      <c r="D81" s="2663">
        <f t="shared" ref="D81:M81" si="18">C81+$K27</f>
        <v>101</v>
      </c>
      <c r="E81" s="2663">
        <f t="shared" si="18"/>
        <v>102</v>
      </c>
      <c r="F81" s="2663">
        <f t="shared" si="18"/>
        <v>103</v>
      </c>
      <c r="G81" s="2663">
        <f t="shared" si="18"/>
        <v>104</v>
      </c>
      <c r="H81" s="2663">
        <f t="shared" si="18"/>
        <v>105</v>
      </c>
      <c r="I81" s="2663">
        <f t="shared" si="18"/>
        <v>106</v>
      </c>
      <c r="J81" s="2663">
        <f t="shared" si="18"/>
        <v>107</v>
      </c>
      <c r="K81" s="2663">
        <f t="shared" si="18"/>
        <v>108</v>
      </c>
      <c r="L81" s="2663">
        <f t="shared" si="18"/>
        <v>109</v>
      </c>
      <c r="M81" s="2663">
        <f t="shared" si="18"/>
        <v>110</v>
      </c>
      <c r="N81" s="3464"/>
      <c r="O81" s="3464"/>
      <c r="P81" s="2759"/>
      <c r="Q81" s="2759"/>
      <c r="R81" s="3465"/>
      <c r="S81" s="3465"/>
      <c r="T81" s="3465"/>
      <c r="U81" s="3465"/>
      <c r="V81" s="3465"/>
      <c r="W81" s="3465"/>
      <c r="X81" s="3465"/>
      <c r="Y81" s="3465"/>
      <c r="Z81" s="3465"/>
      <c r="AA81" s="3465"/>
      <c r="AB81" s="3465"/>
      <c r="AC81" s="3465"/>
      <c r="AD81" s="3465"/>
    </row>
    <row r="82" spans="1:30" ht="15" thickTop="1">
      <c r="A82" s="2796"/>
      <c r="B82" s="2849" t="s">
        <v>2311</v>
      </c>
      <c r="C82" s="2666"/>
      <c r="D82" s="2666"/>
      <c r="E82" s="2682"/>
      <c r="F82" s="2682"/>
      <c r="G82" s="2682"/>
      <c r="H82" s="2682"/>
      <c r="I82" s="2682"/>
      <c r="J82" s="2682"/>
      <c r="K82" s="2683"/>
      <c r="L82" s="2874"/>
      <c r="M82" s="2875"/>
      <c r="N82" s="2763"/>
      <c r="O82" s="2763"/>
      <c r="P82" s="2739"/>
      <c r="Q82" s="2739"/>
      <c r="R82" s="2606"/>
      <c r="S82" s="2606"/>
      <c r="T82" s="2606"/>
      <c r="U82" s="2606"/>
      <c r="V82" s="2606"/>
      <c r="W82" s="2606"/>
      <c r="X82" s="2606"/>
      <c r="Y82" s="2606"/>
      <c r="Z82" s="2606"/>
      <c r="AA82" s="2606"/>
      <c r="AB82" s="2606"/>
      <c r="AC82" s="2606"/>
      <c r="AD82" s="2606"/>
    </row>
    <row r="83" spans="1:30" ht="14.4" thickBot="1">
      <c r="A83" s="2758"/>
      <c r="B83" s="2847"/>
      <c r="C83" s="2663">
        <v>100</v>
      </c>
      <c r="D83" s="2663">
        <f t="shared" ref="D83:M83" si="19">C83-$K28</f>
        <v>99</v>
      </c>
      <c r="E83" s="2663">
        <f t="shared" si="19"/>
        <v>98</v>
      </c>
      <c r="F83" s="2663">
        <f t="shared" si="19"/>
        <v>97</v>
      </c>
      <c r="G83" s="2663">
        <f t="shared" si="19"/>
        <v>96</v>
      </c>
      <c r="H83" s="2663">
        <f t="shared" si="19"/>
        <v>95</v>
      </c>
      <c r="I83" s="2663">
        <f t="shared" si="19"/>
        <v>94</v>
      </c>
      <c r="J83" s="2663">
        <f t="shared" si="19"/>
        <v>93</v>
      </c>
      <c r="K83" s="2663">
        <f t="shared" si="19"/>
        <v>92</v>
      </c>
      <c r="L83" s="2663">
        <f t="shared" si="19"/>
        <v>91</v>
      </c>
      <c r="M83" s="2848">
        <f t="shared" si="19"/>
        <v>90</v>
      </c>
      <c r="N83" s="3464"/>
      <c r="O83" s="3464"/>
      <c r="P83" s="2739"/>
      <c r="Q83" s="2739"/>
      <c r="R83" s="2606"/>
      <c r="S83" s="2606"/>
      <c r="T83" s="2606"/>
      <c r="U83" s="2606"/>
      <c r="V83" s="2606"/>
      <c r="W83" s="2606"/>
      <c r="X83" s="2606"/>
      <c r="Y83" s="2606"/>
      <c r="Z83" s="2606"/>
      <c r="AA83" s="2606"/>
      <c r="AB83" s="2606"/>
      <c r="AC83" s="2606"/>
      <c r="AD83" s="2606"/>
    </row>
    <row r="84" spans="1:30" ht="15" thickTop="1">
      <c r="A84" s="2796"/>
      <c r="B84" s="2844" t="s">
        <v>2319</v>
      </c>
      <c r="C84" s="2666"/>
      <c r="D84" s="2666"/>
      <c r="E84" s="2666"/>
      <c r="F84" s="2666"/>
      <c r="G84" s="2666"/>
      <c r="H84" s="2666"/>
      <c r="I84" s="2682"/>
      <c r="J84" s="2682"/>
      <c r="K84" s="2683"/>
      <c r="L84" s="2874"/>
      <c r="M84" s="2875"/>
      <c r="N84" s="2763"/>
      <c r="O84" s="2763"/>
      <c r="P84" s="2739"/>
      <c r="Q84" s="2739"/>
      <c r="R84" s="2606"/>
      <c r="S84" s="2606"/>
      <c r="T84" s="2606"/>
      <c r="U84" s="2606"/>
      <c r="V84" s="2606"/>
      <c r="W84" s="2606"/>
      <c r="X84" s="2606"/>
      <c r="Y84" s="2606"/>
      <c r="Z84" s="2606"/>
      <c r="AA84" s="2606"/>
      <c r="AB84" s="2606"/>
      <c r="AC84" s="2606"/>
      <c r="AD84" s="2606"/>
    </row>
    <row r="85" spans="1:30" ht="14.4" thickBot="1">
      <c r="A85" s="2758"/>
      <c r="B85" s="2847"/>
      <c r="C85" s="2677">
        <v>100</v>
      </c>
      <c r="D85" s="2663">
        <f t="shared" ref="D85:M85" si="20">C85+$K29</f>
        <v>101</v>
      </c>
      <c r="E85" s="2663">
        <f t="shared" si="20"/>
        <v>102</v>
      </c>
      <c r="F85" s="2663">
        <f t="shared" si="20"/>
        <v>103</v>
      </c>
      <c r="G85" s="2663">
        <f t="shared" si="20"/>
        <v>104</v>
      </c>
      <c r="H85" s="2663">
        <f t="shared" si="20"/>
        <v>105</v>
      </c>
      <c r="I85" s="2663">
        <f t="shared" si="20"/>
        <v>106</v>
      </c>
      <c r="J85" s="2663">
        <f t="shared" si="20"/>
        <v>107</v>
      </c>
      <c r="K85" s="2663">
        <f t="shared" si="20"/>
        <v>108</v>
      </c>
      <c r="L85" s="2663">
        <f t="shared" si="20"/>
        <v>109</v>
      </c>
      <c r="M85" s="2663">
        <f t="shared" si="20"/>
        <v>110</v>
      </c>
      <c r="N85" s="3464"/>
      <c r="O85" s="3464"/>
      <c r="P85" s="2739"/>
      <c r="Q85" s="2739"/>
      <c r="R85" s="2606"/>
      <c r="S85" s="2606"/>
      <c r="T85" s="2606"/>
      <c r="U85" s="2606"/>
      <c r="V85" s="2606"/>
      <c r="W85" s="2606"/>
      <c r="X85" s="2606"/>
      <c r="Y85" s="2606"/>
      <c r="Z85" s="2606"/>
      <c r="AA85" s="2606"/>
      <c r="AB85" s="2606"/>
      <c r="AC85" s="2606"/>
      <c r="AD85" s="2606"/>
    </row>
    <row r="86" spans="1:30" ht="15" thickTop="1">
      <c r="A86" s="2796"/>
      <c r="B86" s="2849" t="s">
        <v>2320</v>
      </c>
      <c r="C86" s="2676" t="str">
        <f t="shared" ref="C86:L86" si="21">C87&amp;"(含)"&amp;"-"&amp;D87</f>
        <v>0(含)-100</v>
      </c>
      <c r="D86" s="2676" t="str">
        <f t="shared" si="21"/>
        <v>100(含)-</v>
      </c>
      <c r="E86" s="2676" t="str">
        <f t="shared" si="21"/>
        <v>(含)-</v>
      </c>
      <c r="F86" s="2676" t="str">
        <f t="shared" si="21"/>
        <v>(含)-</v>
      </c>
      <c r="G86" s="2676" t="str">
        <f t="shared" si="21"/>
        <v>(含)-</v>
      </c>
      <c r="H86" s="2676" t="str">
        <f t="shared" si="21"/>
        <v>(含)-</v>
      </c>
      <c r="I86" s="2676" t="str">
        <f t="shared" si="21"/>
        <v>(含)-</v>
      </c>
      <c r="J86" s="2676" t="str">
        <f t="shared" si="21"/>
        <v>(含)-</v>
      </c>
      <c r="K86" s="2676" t="str">
        <f t="shared" si="21"/>
        <v>(含)-</v>
      </c>
      <c r="L86" s="2676" t="str">
        <f t="shared" si="21"/>
        <v>(含)-</v>
      </c>
      <c r="M86" s="3469" t="str">
        <f>M87&amp;"(含)"&amp;"-"&amp;P87</f>
        <v>(含)-</v>
      </c>
      <c r="N86" s="2763"/>
      <c r="O86" s="2763"/>
      <c r="P86" s="2739"/>
      <c r="Q86" s="2739"/>
      <c r="R86" s="2606"/>
      <c r="S86" s="2606"/>
      <c r="T86" s="2606"/>
      <c r="U86" s="2606"/>
      <c r="V86" s="2606"/>
      <c r="W86" s="2606"/>
      <c r="X86" s="2606"/>
      <c r="Y86" s="2606"/>
      <c r="Z86" s="2606"/>
      <c r="AA86" s="2606"/>
      <c r="AB86" s="2606"/>
      <c r="AC86" s="2606"/>
      <c r="AD86" s="2606"/>
    </row>
    <row r="87" spans="1:30">
      <c r="A87" s="2796"/>
      <c r="B87" s="2849"/>
      <c r="C87" s="2650">
        <v>0</v>
      </c>
      <c r="D87" s="2650">
        <v>100</v>
      </c>
      <c r="E87" s="2650"/>
      <c r="F87" s="2650"/>
      <c r="G87" s="2650"/>
      <c r="H87" s="2650"/>
      <c r="I87" s="2650"/>
      <c r="J87" s="2687"/>
      <c r="K87" s="2687"/>
      <c r="L87" s="2880"/>
      <c r="M87" s="2881"/>
      <c r="N87" s="2763"/>
      <c r="O87" s="2763"/>
      <c r="P87" s="2739"/>
      <c r="Q87" s="2739"/>
      <c r="R87" s="2606"/>
      <c r="S87" s="2606"/>
      <c r="T87" s="2606"/>
      <c r="U87" s="2606"/>
      <c r="V87" s="2606"/>
      <c r="W87" s="2606"/>
      <c r="X87" s="2606"/>
      <c r="Y87" s="2606"/>
      <c r="Z87" s="2606"/>
      <c r="AA87" s="2606"/>
      <c r="AB87" s="2606"/>
      <c r="AC87" s="2606"/>
      <c r="AD87" s="2606"/>
    </row>
    <row r="88" spans="1:30" ht="14.4" thickBot="1">
      <c r="A88" s="2758"/>
      <c r="B88" s="2847"/>
      <c r="C88" s="2668">
        <v>100</v>
      </c>
      <c r="D88" s="2660">
        <v>100</v>
      </c>
      <c r="E88" s="2660"/>
      <c r="F88" s="2660"/>
      <c r="G88" s="2660"/>
      <c r="H88" s="2660"/>
      <c r="I88" s="2660"/>
      <c r="J88" s="2660"/>
      <c r="K88" s="2660"/>
      <c r="L88" s="2660"/>
      <c r="M88" s="2660"/>
      <c r="N88" s="3464"/>
      <c r="O88" s="3464"/>
      <c r="P88" s="2739"/>
      <c r="Q88" s="2739"/>
      <c r="R88" s="2606"/>
      <c r="S88" s="2606"/>
      <c r="T88" s="2606"/>
      <c r="U88" s="2606"/>
      <c r="V88" s="2606"/>
      <c r="W88" s="2606"/>
      <c r="X88" s="2606"/>
      <c r="Y88" s="2606"/>
      <c r="Z88" s="2606"/>
      <c r="AA88" s="2606"/>
      <c r="AB88" s="2606"/>
      <c r="AC88" s="2606"/>
      <c r="AD88" s="2606"/>
    </row>
    <row r="89" spans="1:30" s="2795" customFormat="1" ht="15" thickTop="1">
      <c r="A89" s="2787"/>
      <c r="B89" s="2844" t="s">
        <v>2321</v>
      </c>
      <c r="C89" s="2666"/>
      <c r="D89" s="2666"/>
      <c r="E89" s="2666"/>
      <c r="F89" s="2666"/>
      <c r="G89" s="2666"/>
      <c r="H89" s="2666"/>
      <c r="I89" s="2666"/>
      <c r="J89" s="2666"/>
      <c r="K89" s="2666"/>
      <c r="L89" s="2666"/>
      <c r="M89" s="2872"/>
      <c r="N89" s="2759"/>
      <c r="O89" s="2759"/>
      <c r="P89" s="2759"/>
      <c r="Q89" s="2759"/>
      <c r="R89" s="3465"/>
      <c r="S89" s="3465"/>
      <c r="T89" s="3465"/>
      <c r="U89" s="3465"/>
      <c r="V89" s="3465"/>
      <c r="W89" s="3465"/>
      <c r="X89" s="3465"/>
      <c r="Y89" s="3465"/>
      <c r="Z89" s="3465"/>
      <c r="AA89" s="3465"/>
      <c r="AB89" s="3465"/>
      <c r="AC89" s="3465"/>
      <c r="AD89" s="3465"/>
    </row>
    <row r="90" spans="1:30" s="2795" customFormat="1" ht="14.4" thickBot="1">
      <c r="A90" s="2852"/>
      <c r="B90" s="2847"/>
      <c r="C90" s="2668"/>
      <c r="D90" s="2660"/>
      <c r="E90" s="2660"/>
      <c r="F90" s="2660"/>
      <c r="G90" s="2660"/>
      <c r="H90" s="2660"/>
      <c r="I90" s="2660"/>
      <c r="J90" s="2660"/>
      <c r="K90" s="2660"/>
      <c r="L90" s="2660"/>
      <c r="M90" s="2842"/>
      <c r="N90" s="2759"/>
      <c r="O90" s="2759"/>
      <c r="P90" s="2759"/>
      <c r="Q90" s="2759"/>
      <c r="R90" s="3465"/>
      <c r="S90" s="3465"/>
      <c r="T90" s="3465"/>
      <c r="U90" s="3465"/>
      <c r="V90" s="3465"/>
      <c r="W90" s="3465"/>
      <c r="X90" s="3465"/>
      <c r="Y90" s="3465"/>
      <c r="Z90" s="3465"/>
      <c r="AA90" s="3465"/>
      <c r="AB90" s="3465"/>
      <c r="AC90" s="3465"/>
      <c r="AD90" s="3465"/>
    </row>
    <row r="91" spans="1:30" ht="14.4" thickTop="1">
      <c r="A91" s="2796"/>
      <c r="B91" s="2844">
        <f>B32</f>
        <v>111</v>
      </c>
      <c r="C91" s="2554"/>
      <c r="D91" s="2554"/>
      <c r="E91" s="2554"/>
      <c r="F91" s="2554"/>
      <c r="G91" s="2666"/>
      <c r="H91" s="2667"/>
      <c r="I91" s="2667"/>
      <c r="J91" s="2667"/>
      <c r="K91" s="2667"/>
      <c r="L91" s="2853"/>
      <c r="M91" s="2854"/>
      <c r="N91" s="2763"/>
      <c r="O91" s="2763"/>
      <c r="P91" s="2739"/>
      <c r="Q91" s="2739"/>
      <c r="R91" s="2606"/>
      <c r="S91" s="2606"/>
      <c r="T91" s="2606"/>
      <c r="U91" s="2606"/>
      <c r="V91" s="2606"/>
      <c r="W91" s="2606"/>
      <c r="X91" s="2606"/>
      <c r="Y91" s="2606"/>
      <c r="Z91" s="2606"/>
      <c r="AA91" s="2606"/>
      <c r="AB91" s="2606"/>
      <c r="AC91" s="2606"/>
      <c r="AD91" s="2606"/>
    </row>
    <row r="92" spans="1:30" ht="14.4" thickBot="1">
      <c r="A92" s="2758"/>
      <c r="B92" s="2847"/>
      <c r="C92" s="2668"/>
      <c r="D92" s="2660"/>
      <c r="E92" s="2660"/>
      <c r="F92" s="2660"/>
      <c r="G92" s="2668"/>
      <c r="H92" s="2669"/>
      <c r="I92" s="2669"/>
      <c r="J92" s="2669"/>
      <c r="K92" s="2669"/>
      <c r="L92" s="2669"/>
      <c r="M92" s="2860"/>
      <c r="N92" s="3464"/>
      <c r="O92" s="3464"/>
      <c r="P92" s="2739"/>
      <c r="Q92" s="2739"/>
      <c r="R92" s="2606"/>
      <c r="S92" s="2606"/>
      <c r="T92" s="2606"/>
      <c r="U92" s="2606"/>
      <c r="V92" s="2606"/>
      <c r="W92" s="2606"/>
      <c r="X92" s="2606"/>
      <c r="Y92" s="2606"/>
      <c r="Z92" s="2606"/>
      <c r="AA92" s="2606"/>
      <c r="AB92" s="2606"/>
      <c r="AC92" s="2606"/>
      <c r="AD92" s="2606"/>
    </row>
    <row r="93" spans="1:30" ht="14.4" thickTop="1">
      <c r="A93" s="2796"/>
      <c r="B93" s="2844">
        <f>B33</f>
        <v>111</v>
      </c>
      <c r="C93" s="2554"/>
      <c r="D93" s="2554"/>
      <c r="E93" s="2554"/>
      <c r="F93" s="2554"/>
      <c r="G93" s="2666"/>
      <c r="H93" s="2667"/>
      <c r="I93" s="2667"/>
      <c r="J93" s="2667"/>
      <c r="K93" s="2667"/>
      <c r="L93" s="2853"/>
      <c r="M93" s="2854"/>
      <c r="N93" s="2763"/>
      <c r="O93" s="2763"/>
      <c r="P93" s="2739"/>
      <c r="Q93" s="2739"/>
      <c r="R93" s="2606"/>
      <c r="S93" s="2606"/>
      <c r="T93" s="2606"/>
      <c r="U93" s="2606"/>
      <c r="V93" s="2606"/>
      <c r="W93" s="2606"/>
      <c r="X93" s="2606"/>
      <c r="Y93" s="2606"/>
      <c r="Z93" s="2606"/>
      <c r="AA93" s="2606"/>
      <c r="AB93" s="2606"/>
      <c r="AC93" s="2606"/>
      <c r="AD93" s="2606"/>
    </row>
    <row r="94" spans="1:30" ht="14.4" thickBot="1">
      <c r="A94" s="2758"/>
      <c r="B94" s="2847"/>
      <c r="C94" s="2668"/>
      <c r="D94" s="2660"/>
      <c r="E94" s="2660"/>
      <c r="F94" s="2660"/>
      <c r="G94" s="2668"/>
      <c r="H94" s="2669"/>
      <c r="I94" s="2669"/>
      <c r="J94" s="2669"/>
      <c r="K94" s="2669"/>
      <c r="L94" s="2669"/>
      <c r="M94" s="2860"/>
      <c r="N94" s="3464"/>
      <c r="O94" s="3464"/>
      <c r="P94" s="2739"/>
      <c r="Q94" s="2739"/>
      <c r="R94" s="2606"/>
      <c r="S94" s="2606"/>
      <c r="T94" s="2606"/>
      <c r="U94" s="2606"/>
      <c r="V94" s="2606"/>
      <c r="W94" s="2606"/>
      <c r="X94" s="2606"/>
      <c r="Y94" s="2606"/>
      <c r="Z94" s="2606"/>
      <c r="AA94" s="2606"/>
      <c r="AB94" s="2606"/>
      <c r="AC94" s="2606"/>
      <c r="AD94" s="2606"/>
    </row>
    <row r="95" spans="1:30" ht="14.4" thickTop="1">
      <c r="A95" s="2796"/>
      <c r="B95" s="3470">
        <f>B34</f>
        <v>111</v>
      </c>
      <c r="C95" s="2554"/>
      <c r="D95" s="2554"/>
      <c r="E95" s="2554"/>
      <c r="F95" s="2554"/>
      <c r="G95" s="2666"/>
      <c r="H95" s="2667"/>
      <c r="I95" s="2667"/>
      <c r="J95" s="2667"/>
      <c r="K95" s="2667"/>
      <c r="L95" s="2853"/>
      <c r="M95" s="2854"/>
      <c r="N95" s="3464"/>
      <c r="O95" s="3464"/>
      <c r="P95" s="3464"/>
      <c r="Q95" s="3464"/>
      <c r="R95" s="2606"/>
      <c r="S95" s="2606"/>
      <c r="T95" s="2606"/>
      <c r="U95" s="2606"/>
      <c r="V95" s="2606"/>
      <c r="W95" s="2606"/>
      <c r="X95" s="2606"/>
      <c r="Y95" s="2606"/>
      <c r="Z95" s="2606"/>
      <c r="AA95" s="2606"/>
      <c r="AB95" s="2606"/>
      <c r="AC95" s="2606"/>
      <c r="AD95" s="2606"/>
    </row>
    <row r="96" spans="1:30" ht="14.4" thickBot="1">
      <c r="A96" s="2758"/>
      <c r="B96" s="2847"/>
      <c r="C96" s="2668"/>
      <c r="D96" s="2668"/>
      <c r="E96" s="2668"/>
      <c r="F96" s="2668"/>
      <c r="G96" s="2668"/>
      <c r="H96" s="2669"/>
      <c r="I96" s="2669"/>
      <c r="J96" s="2669"/>
      <c r="K96" s="2669"/>
      <c r="L96" s="2669"/>
      <c r="M96" s="2860"/>
      <c r="N96" s="3464"/>
      <c r="O96" s="3464"/>
      <c r="P96" s="2739"/>
      <c r="Q96" s="2739"/>
      <c r="R96" s="2606"/>
      <c r="S96" s="2606"/>
      <c r="T96" s="2606"/>
      <c r="U96" s="2606"/>
      <c r="V96" s="2606"/>
      <c r="W96" s="2606"/>
      <c r="X96" s="2606"/>
      <c r="Y96" s="2606"/>
      <c r="Z96" s="2606"/>
      <c r="AA96" s="2606"/>
      <c r="AB96" s="2606"/>
      <c r="AC96" s="2606"/>
      <c r="AD96" s="2606"/>
    </row>
    <row r="97" spans="1:30" ht="14.4" thickTop="1">
      <c r="N97" s="2606"/>
      <c r="O97" s="2606"/>
      <c r="P97" s="2606"/>
      <c r="Q97" s="2606"/>
      <c r="R97" s="2606"/>
      <c r="S97" s="2606"/>
      <c r="T97" s="2606"/>
      <c r="U97" s="2606"/>
      <c r="V97" s="2606"/>
      <c r="W97" s="2606"/>
      <c r="X97" s="2606"/>
      <c r="Y97" s="2606"/>
      <c r="Z97" s="2606"/>
      <c r="AA97" s="2606"/>
      <c r="AB97" s="2606"/>
      <c r="AC97" s="2606"/>
      <c r="AD97" s="2606"/>
    </row>
    <row r="98" spans="1:30">
      <c r="A98" s="3471"/>
      <c r="B98" s="3471"/>
      <c r="C98" s="3471"/>
      <c r="D98" s="3471"/>
      <c r="E98" s="3471"/>
      <c r="F98" s="3471"/>
      <c r="G98" s="3471"/>
      <c r="H98" s="3471"/>
      <c r="I98" s="3471"/>
      <c r="J98" s="3471"/>
      <c r="K98" s="3471"/>
      <c r="L98" s="3471"/>
      <c r="M98" s="3471"/>
      <c r="N98" s="2606"/>
      <c r="O98" s="2606"/>
      <c r="P98" s="2606"/>
      <c r="Q98" s="2606"/>
      <c r="R98" s="2606"/>
      <c r="S98" s="2606"/>
      <c r="T98" s="2606"/>
      <c r="U98" s="2606"/>
      <c r="V98" s="2606"/>
      <c r="W98" s="2606"/>
      <c r="X98" s="2606"/>
      <c r="Y98" s="2606"/>
      <c r="Z98" s="2606"/>
      <c r="AA98" s="2606"/>
      <c r="AB98" s="2606"/>
      <c r="AC98" s="2606"/>
      <c r="AD98" s="2606"/>
    </row>
    <row r="99" spans="1:30">
      <c r="A99" s="3471"/>
      <c r="B99" s="3471"/>
      <c r="C99" s="3471"/>
      <c r="D99" s="3471"/>
      <c r="E99" s="3471"/>
      <c r="F99" s="3471"/>
      <c r="G99" s="3471"/>
      <c r="H99" s="3471"/>
      <c r="I99" s="3471"/>
      <c r="J99" s="3471"/>
      <c r="K99" s="3471"/>
      <c r="L99" s="3471"/>
      <c r="M99" s="3471"/>
      <c r="N99" s="2606"/>
      <c r="O99" s="2606"/>
      <c r="P99" s="2606"/>
      <c r="Q99" s="2606"/>
      <c r="R99" s="2606"/>
      <c r="S99" s="2606"/>
      <c r="T99" s="2606"/>
      <c r="U99" s="2606"/>
      <c r="V99" s="2606"/>
      <c r="W99" s="2606"/>
      <c r="X99" s="2606"/>
      <c r="Y99" s="2606"/>
      <c r="Z99" s="2606"/>
      <c r="AA99" s="2606"/>
      <c r="AB99" s="2606"/>
      <c r="AC99" s="2606"/>
      <c r="AD99" s="2606"/>
    </row>
    <row r="100" spans="1:30">
      <c r="A100" s="3471"/>
      <c r="B100" s="3471"/>
      <c r="C100" s="3471"/>
      <c r="D100" s="3471"/>
      <c r="E100" s="3471"/>
      <c r="F100" s="3471"/>
      <c r="G100" s="3471"/>
      <c r="H100" s="3471"/>
      <c r="I100" s="3471"/>
      <c r="J100" s="3471"/>
      <c r="K100" s="3471"/>
      <c r="L100" s="3471"/>
      <c r="M100" s="3471"/>
      <c r="N100" s="2606"/>
      <c r="O100" s="2606"/>
      <c r="P100" s="2606"/>
      <c r="Q100" s="2606"/>
      <c r="R100" s="2606"/>
      <c r="S100" s="2606"/>
      <c r="T100" s="2606"/>
      <c r="U100" s="2606"/>
      <c r="V100" s="2606"/>
      <c r="W100" s="2606"/>
      <c r="X100" s="2606"/>
      <c r="Y100" s="2606"/>
      <c r="Z100" s="2606"/>
      <c r="AA100" s="2606"/>
      <c r="AB100" s="2606"/>
      <c r="AC100" s="2606"/>
      <c r="AD100" s="2606"/>
    </row>
    <row r="101" spans="1:30">
      <c r="A101" s="3471"/>
      <c r="B101" s="3471"/>
      <c r="C101" s="3471"/>
      <c r="D101" s="3471"/>
      <c r="E101" s="3471"/>
      <c r="F101" s="3471"/>
      <c r="G101" s="3471"/>
      <c r="H101" s="3471"/>
      <c r="I101" s="3471"/>
      <c r="J101" s="3471"/>
      <c r="K101" s="3471"/>
      <c r="L101" s="3471"/>
      <c r="M101" s="3471"/>
      <c r="N101" s="2606"/>
      <c r="O101" s="2606"/>
      <c r="P101" s="2606"/>
      <c r="Q101" s="2606"/>
      <c r="R101" s="2606"/>
      <c r="S101" s="2606"/>
      <c r="T101" s="2606"/>
      <c r="U101" s="2606"/>
      <c r="V101" s="2606"/>
      <c r="W101" s="2606"/>
      <c r="X101" s="2606"/>
      <c r="Y101" s="2606"/>
      <c r="Z101" s="2606"/>
      <c r="AA101" s="2606"/>
      <c r="AB101" s="2606"/>
      <c r="AC101" s="2606"/>
      <c r="AD101" s="2606"/>
    </row>
    <row r="102" spans="1:30">
      <c r="A102" s="3471"/>
      <c r="B102" s="3471"/>
      <c r="C102" s="3471"/>
      <c r="D102" s="3471"/>
      <c r="E102" s="3471"/>
      <c r="F102" s="3471"/>
      <c r="G102" s="3471"/>
      <c r="H102" s="3471"/>
      <c r="I102" s="3471"/>
      <c r="J102" s="3471"/>
      <c r="K102" s="3471"/>
      <c r="L102" s="3471"/>
      <c r="M102" s="3471"/>
      <c r="N102" s="2606"/>
      <c r="O102" s="2606"/>
      <c r="P102" s="2606"/>
      <c r="Q102" s="2606"/>
      <c r="R102" s="2606"/>
      <c r="S102" s="2606"/>
      <c r="T102" s="2606"/>
      <c r="U102" s="2606"/>
      <c r="V102" s="2606"/>
      <c r="W102" s="2606"/>
      <c r="X102" s="2606"/>
      <c r="Y102" s="2606"/>
      <c r="Z102" s="2606"/>
      <c r="AA102" s="2606"/>
      <c r="AB102" s="2606"/>
      <c r="AC102" s="2606"/>
      <c r="AD102" s="2606"/>
    </row>
    <row r="103" spans="1:30">
      <c r="A103" s="3471"/>
      <c r="B103" s="3471"/>
      <c r="C103" s="3471"/>
      <c r="D103" s="3471"/>
      <c r="E103" s="3471"/>
      <c r="F103" s="3471"/>
      <c r="G103" s="3471"/>
      <c r="H103" s="3471"/>
      <c r="I103" s="3471"/>
      <c r="J103" s="3471"/>
      <c r="K103" s="3471"/>
      <c r="L103" s="3471"/>
      <c r="M103" s="3471"/>
      <c r="N103" s="3471"/>
      <c r="O103" s="3471"/>
      <c r="P103" s="2606"/>
      <c r="Q103" s="2606"/>
      <c r="R103" s="2606"/>
      <c r="S103" s="2606"/>
      <c r="T103" s="2606"/>
      <c r="U103" s="2606"/>
      <c r="V103" s="2606"/>
      <c r="W103" s="2606"/>
      <c r="X103" s="2606"/>
      <c r="Y103" s="2606"/>
      <c r="Z103" s="2606"/>
      <c r="AA103" s="2606"/>
      <c r="AB103" s="2606"/>
      <c r="AC103" s="2606"/>
      <c r="AD103" s="2606"/>
    </row>
    <row r="104" spans="1:30">
      <c r="A104" s="3471"/>
      <c r="B104" s="3471"/>
      <c r="C104" s="3471"/>
      <c r="D104" s="3471"/>
      <c r="E104" s="3471"/>
      <c r="F104" s="3471"/>
      <c r="G104" s="3471"/>
      <c r="H104" s="3471"/>
      <c r="I104" s="3471"/>
      <c r="J104" s="3471"/>
      <c r="K104" s="3471"/>
      <c r="L104" s="3471"/>
      <c r="M104" s="3471"/>
      <c r="N104" s="3471"/>
      <c r="O104" s="3471"/>
      <c r="P104" s="3471"/>
      <c r="Q104" s="3471"/>
      <c r="R104" s="3471"/>
      <c r="S104" s="3471"/>
      <c r="T104" s="3471"/>
    </row>
    <row r="105" spans="1:30">
      <c r="A105" s="3471"/>
      <c r="B105" s="3471"/>
      <c r="C105" s="3471"/>
      <c r="D105" s="3471"/>
      <c r="E105" s="3471"/>
      <c r="F105" s="3471"/>
      <c r="G105" s="3471"/>
      <c r="H105" s="3471"/>
      <c r="I105" s="3471"/>
      <c r="J105" s="3471"/>
      <c r="K105" s="3471"/>
      <c r="L105" s="3471"/>
      <c r="M105" s="3471"/>
      <c r="N105" s="3471"/>
      <c r="O105" s="3471"/>
      <c r="P105" s="3471"/>
      <c r="Q105" s="3471"/>
      <c r="R105" s="3471"/>
      <c r="S105" s="3471"/>
      <c r="T105" s="3471"/>
    </row>
    <row r="106" spans="1:30">
      <c r="A106" s="3471"/>
      <c r="B106" s="3471"/>
      <c r="C106" s="3471"/>
      <c r="D106" s="3471"/>
      <c r="E106" s="3471"/>
      <c r="F106" s="3471"/>
      <c r="G106" s="3471"/>
      <c r="H106" s="3471"/>
      <c r="I106" s="3471"/>
      <c r="J106" s="3471"/>
      <c r="K106" s="3471"/>
      <c r="L106" s="3471"/>
      <c r="M106" s="3471"/>
      <c r="N106" s="3471"/>
      <c r="O106" s="3471"/>
      <c r="P106" s="3471"/>
      <c r="Q106" s="3471"/>
      <c r="R106" s="3471"/>
      <c r="S106" s="3471"/>
      <c r="T106" s="3471"/>
    </row>
    <row r="107" spans="1:30">
      <c r="A107" s="3471"/>
      <c r="B107" s="3471"/>
      <c r="C107" s="3471"/>
      <c r="D107" s="3471"/>
      <c r="E107" s="3471"/>
      <c r="F107" s="3471"/>
      <c r="G107" s="3471"/>
      <c r="H107" s="3471"/>
      <c r="I107" s="3471"/>
      <c r="J107" s="3471"/>
      <c r="K107" s="3471"/>
      <c r="L107" s="3471"/>
      <c r="M107" s="3471"/>
      <c r="N107" s="3471"/>
      <c r="O107" s="3471"/>
      <c r="P107" s="3471"/>
      <c r="Q107" s="3471"/>
      <c r="R107" s="3471"/>
      <c r="S107" s="3471"/>
      <c r="T107" s="3471"/>
    </row>
    <row r="108" spans="1:30">
      <c r="A108" s="3471"/>
      <c r="B108" s="3471"/>
      <c r="C108" s="3471"/>
      <c r="D108" s="3471"/>
      <c r="E108" s="3471"/>
      <c r="F108" s="3471"/>
      <c r="G108" s="3471"/>
      <c r="H108" s="3471"/>
      <c r="I108" s="3471"/>
      <c r="J108" s="3471"/>
      <c r="K108" s="3471"/>
      <c r="L108" s="3471"/>
      <c r="M108" s="3471"/>
      <c r="N108" s="3471"/>
      <c r="O108" s="3471"/>
      <c r="P108" s="3471"/>
      <c r="Q108" s="3471"/>
      <c r="R108" s="3471"/>
      <c r="S108" s="3471"/>
      <c r="T108" s="3471"/>
    </row>
    <row r="109" spans="1:30">
      <c r="A109" s="3471"/>
      <c r="B109" s="3471"/>
      <c r="C109" s="3471"/>
      <c r="D109" s="3471"/>
      <c r="E109" s="3471"/>
      <c r="F109" s="3471"/>
      <c r="G109" s="3471"/>
      <c r="H109" s="3471"/>
      <c r="I109" s="3471"/>
      <c r="J109" s="3471"/>
      <c r="K109" s="3471"/>
      <c r="L109" s="3471"/>
      <c r="M109" s="3471"/>
      <c r="N109" s="3471"/>
      <c r="O109" s="3471"/>
      <c r="P109" s="3471"/>
      <c r="Q109" s="3471"/>
      <c r="R109" s="3471"/>
      <c r="S109" s="3471"/>
      <c r="T109" s="3471"/>
    </row>
    <row r="110" spans="1:30">
      <c r="A110" s="3471"/>
      <c r="B110" s="3471"/>
      <c r="C110" s="3471"/>
      <c r="D110" s="3471"/>
      <c r="E110" s="3471"/>
      <c r="F110" s="3471"/>
      <c r="G110" s="3471"/>
      <c r="H110" s="3471"/>
      <c r="I110" s="3471"/>
      <c r="J110" s="3471"/>
      <c r="K110" s="3471"/>
      <c r="L110" s="3471"/>
      <c r="M110" s="3471"/>
      <c r="N110" s="3471"/>
      <c r="O110" s="3471"/>
      <c r="P110" s="3471"/>
      <c r="Q110" s="3471"/>
      <c r="R110" s="3471"/>
      <c r="S110" s="3471"/>
      <c r="T110" s="3471"/>
    </row>
    <row r="111" spans="1:30">
      <c r="A111" s="3471"/>
      <c r="B111" s="3471"/>
      <c r="C111" s="3471"/>
      <c r="D111" s="3471"/>
      <c r="E111" s="3471"/>
      <c r="F111" s="3471"/>
      <c r="G111" s="3471"/>
      <c r="H111" s="3471"/>
      <c r="I111" s="3471"/>
      <c r="J111" s="3471"/>
      <c r="K111" s="3471"/>
      <c r="L111" s="3471"/>
      <c r="M111" s="3471"/>
      <c r="N111" s="3471"/>
      <c r="O111" s="3471"/>
      <c r="P111" s="3471"/>
      <c r="Q111" s="3471"/>
      <c r="R111" s="3471"/>
      <c r="S111" s="3471"/>
      <c r="T111" s="3471"/>
    </row>
    <row r="112" spans="1:30">
      <c r="A112" s="3471"/>
      <c r="B112" s="3471"/>
      <c r="C112" s="3471"/>
      <c r="D112" s="3471"/>
      <c r="E112" s="3471"/>
      <c r="F112" s="3471"/>
      <c r="G112" s="3471"/>
      <c r="H112" s="3471"/>
      <c r="I112" s="3471"/>
      <c r="J112" s="3471"/>
      <c r="K112" s="3471"/>
      <c r="L112" s="3471"/>
      <c r="M112" s="3471"/>
      <c r="N112" s="3471"/>
      <c r="O112" s="3471"/>
      <c r="P112" s="3471"/>
      <c r="Q112" s="3471"/>
      <c r="R112" s="3471"/>
      <c r="S112" s="3471"/>
      <c r="T112" s="3471"/>
    </row>
    <row r="113" spans="1:20">
      <c r="A113" s="3471"/>
      <c r="B113" s="3471"/>
      <c r="C113" s="3471"/>
      <c r="D113" s="3471"/>
      <c r="E113" s="3471"/>
      <c r="F113" s="3471"/>
      <c r="G113" s="3471"/>
      <c r="H113" s="3471"/>
      <c r="I113" s="3471"/>
      <c r="J113" s="3471"/>
      <c r="K113" s="3471"/>
      <c r="L113" s="3471"/>
      <c r="M113" s="3471"/>
      <c r="N113" s="3471"/>
      <c r="O113" s="3471"/>
      <c r="P113" s="3471"/>
      <c r="Q113" s="3471"/>
      <c r="R113" s="3471"/>
      <c r="S113" s="3471"/>
      <c r="T113" s="3471"/>
    </row>
    <row r="114" spans="1:20">
      <c r="A114" s="3471"/>
      <c r="B114" s="3471"/>
      <c r="C114" s="3471"/>
      <c r="D114" s="3471"/>
      <c r="E114" s="3471"/>
      <c r="F114" s="3471"/>
      <c r="G114" s="3471"/>
      <c r="H114" s="3471"/>
      <c r="I114" s="3471"/>
      <c r="J114" s="3471"/>
      <c r="K114" s="3471"/>
      <c r="L114" s="3471"/>
      <c r="M114" s="3471"/>
      <c r="N114" s="3471"/>
      <c r="O114" s="3471"/>
      <c r="P114" s="3471"/>
      <c r="Q114" s="3471"/>
      <c r="R114" s="3471"/>
      <c r="S114" s="3471"/>
      <c r="T114" s="3471"/>
    </row>
    <row r="115" spans="1:20">
      <c r="A115" s="3471"/>
      <c r="B115" s="3471"/>
      <c r="C115" s="3471"/>
      <c r="D115" s="3471"/>
      <c r="E115" s="3471"/>
      <c r="F115" s="3471"/>
      <c r="G115" s="3471"/>
      <c r="H115" s="3471"/>
      <c r="I115" s="3471"/>
      <c r="J115" s="3471"/>
      <c r="K115" s="3471"/>
      <c r="L115" s="3471"/>
      <c r="M115" s="3471"/>
      <c r="N115" s="3471"/>
      <c r="O115" s="3471"/>
      <c r="P115" s="3471"/>
      <c r="Q115" s="3471"/>
      <c r="R115" s="3471"/>
      <c r="S115" s="3471"/>
      <c r="T115" s="3471"/>
    </row>
    <row r="116" spans="1:20">
      <c r="A116" s="3471"/>
      <c r="B116" s="3471"/>
      <c r="C116" s="3471"/>
      <c r="D116" s="3471"/>
      <c r="E116" s="3471"/>
      <c r="F116" s="3471"/>
      <c r="G116" s="3471"/>
      <c r="H116" s="3471"/>
      <c r="I116" s="3471"/>
      <c r="J116" s="3471"/>
      <c r="K116" s="3471"/>
      <c r="L116" s="3471"/>
      <c r="M116" s="3471"/>
      <c r="N116" s="3471"/>
      <c r="O116" s="3471"/>
      <c r="P116" s="3471"/>
      <c r="Q116" s="3471"/>
      <c r="R116" s="3471"/>
      <c r="S116" s="3471"/>
      <c r="T116" s="3471"/>
    </row>
    <row r="117" spans="1:20">
      <c r="A117" s="3471"/>
      <c r="B117" s="3471"/>
      <c r="C117" s="3471"/>
      <c r="D117" s="3471"/>
      <c r="E117" s="3471"/>
      <c r="F117" s="3471"/>
      <c r="G117" s="3471"/>
      <c r="H117" s="3471"/>
      <c r="I117" s="3471"/>
      <c r="J117" s="3471"/>
      <c r="K117" s="3471"/>
      <c r="L117" s="3471"/>
      <c r="M117" s="3471"/>
      <c r="N117" s="3471"/>
      <c r="O117" s="3471"/>
      <c r="P117" s="3471"/>
      <c r="Q117" s="3471"/>
      <c r="R117" s="3471"/>
      <c r="S117" s="3471"/>
      <c r="T117" s="3471"/>
    </row>
    <row r="118" spans="1:20">
      <c r="A118" s="3471"/>
      <c r="B118" s="3471"/>
      <c r="C118" s="3471"/>
      <c r="D118" s="3471"/>
      <c r="E118" s="3471"/>
      <c r="F118" s="3471"/>
      <c r="G118" s="3471"/>
      <c r="H118" s="3471"/>
      <c r="I118" s="3471"/>
      <c r="J118" s="3471"/>
      <c r="K118" s="3471"/>
      <c r="L118" s="3471"/>
      <c r="M118" s="3471"/>
      <c r="N118" s="3471"/>
      <c r="O118" s="3471"/>
      <c r="P118" s="3471"/>
      <c r="Q118" s="3471"/>
      <c r="R118" s="3471"/>
      <c r="S118" s="3471"/>
      <c r="T118" s="3471"/>
    </row>
    <row r="119" spans="1:20">
      <c r="A119" s="3471"/>
      <c r="B119" s="3471"/>
      <c r="C119" s="3471"/>
      <c r="D119" s="3471"/>
      <c r="E119" s="3471"/>
      <c r="F119" s="3471"/>
      <c r="G119" s="3471"/>
      <c r="H119" s="3471"/>
      <c r="I119" s="3471"/>
      <c r="J119" s="3471"/>
      <c r="K119" s="3471"/>
      <c r="L119" s="3471"/>
      <c r="M119" s="3471"/>
      <c r="N119" s="3471"/>
      <c r="O119" s="3471"/>
      <c r="P119" s="3471"/>
      <c r="Q119" s="3471"/>
      <c r="R119" s="3471"/>
      <c r="S119" s="3471"/>
      <c r="T119" s="3471"/>
    </row>
    <row r="120" spans="1:20">
      <c r="A120" s="3471"/>
      <c r="B120" s="3471"/>
      <c r="C120" s="3471"/>
      <c r="D120" s="3471"/>
      <c r="E120" s="3471"/>
      <c r="F120" s="3471"/>
      <c r="G120" s="3471"/>
      <c r="H120" s="3471"/>
      <c r="I120" s="3471"/>
      <c r="J120" s="3471"/>
      <c r="K120" s="3471"/>
      <c r="L120" s="3471"/>
      <c r="M120" s="3471"/>
      <c r="N120" s="3471"/>
      <c r="O120" s="3471"/>
      <c r="P120" s="3471"/>
      <c r="Q120" s="3471"/>
      <c r="R120" s="3471"/>
      <c r="S120" s="3471"/>
      <c r="T120" s="3471"/>
    </row>
    <row r="121" spans="1:20">
      <c r="A121" s="3471"/>
      <c r="B121" s="3471"/>
      <c r="C121" s="3471"/>
      <c r="D121" s="3471"/>
      <c r="E121" s="3471"/>
      <c r="F121" s="3471"/>
      <c r="G121" s="3471"/>
      <c r="H121" s="3471"/>
      <c r="I121" s="3471"/>
      <c r="J121" s="3471"/>
      <c r="K121" s="3471"/>
      <c r="L121" s="3471"/>
      <c r="M121" s="3471"/>
      <c r="N121" s="3471"/>
      <c r="O121" s="3471"/>
      <c r="P121" s="3471"/>
      <c r="Q121" s="3471"/>
      <c r="R121" s="3471"/>
      <c r="S121" s="3471"/>
      <c r="T121" s="3471"/>
    </row>
    <row r="122" spans="1:20">
      <c r="A122" s="3471"/>
      <c r="B122" s="3471"/>
      <c r="C122" s="3471"/>
      <c r="D122" s="3471"/>
      <c r="E122" s="3471"/>
      <c r="F122" s="3471"/>
      <c r="G122" s="3471"/>
      <c r="H122" s="3471"/>
      <c r="I122" s="3471"/>
      <c r="J122" s="3471"/>
      <c r="K122" s="3471"/>
      <c r="L122" s="3471"/>
      <c r="M122" s="3471"/>
      <c r="N122" s="3471"/>
      <c r="O122" s="3471"/>
      <c r="P122" s="3471"/>
      <c r="Q122" s="3471"/>
      <c r="R122" s="3471"/>
      <c r="S122" s="3471"/>
      <c r="T122" s="3471"/>
    </row>
    <row r="123" spans="1:20">
      <c r="A123" s="3471"/>
      <c r="B123" s="3471"/>
      <c r="C123" s="3471"/>
      <c r="D123" s="3471"/>
      <c r="E123" s="3471"/>
      <c r="F123" s="3471"/>
      <c r="G123" s="3471"/>
      <c r="H123" s="3471"/>
      <c r="I123" s="3471"/>
      <c r="J123" s="3471"/>
      <c r="K123" s="3471"/>
      <c r="L123" s="3471"/>
      <c r="M123" s="3471"/>
      <c r="N123" s="3471"/>
      <c r="O123" s="3471"/>
      <c r="P123" s="3471"/>
      <c r="Q123" s="3471"/>
      <c r="R123" s="3471"/>
      <c r="S123" s="3471"/>
      <c r="T123" s="3471"/>
    </row>
    <row r="124" spans="1:20">
      <c r="A124" s="3471"/>
      <c r="B124" s="3471"/>
      <c r="C124" s="3471"/>
      <c r="D124" s="3471"/>
      <c r="E124" s="3471"/>
      <c r="F124" s="3471"/>
      <c r="G124" s="3471"/>
      <c r="H124" s="3471"/>
      <c r="I124" s="3471"/>
      <c r="J124" s="3471"/>
      <c r="K124" s="3471"/>
      <c r="L124" s="3471"/>
      <c r="M124" s="3471"/>
      <c r="N124" s="3471"/>
      <c r="O124" s="3471"/>
      <c r="P124" s="3471"/>
      <c r="Q124" s="3471"/>
      <c r="R124" s="3471"/>
      <c r="S124" s="3471"/>
      <c r="T124" s="3471"/>
    </row>
    <row r="125" spans="1:20">
      <c r="A125" s="3471"/>
      <c r="B125" s="3471"/>
      <c r="C125" s="3471"/>
      <c r="D125" s="3471"/>
      <c r="E125" s="3471"/>
      <c r="F125" s="3471"/>
      <c r="G125" s="3471"/>
      <c r="H125" s="3471"/>
      <c r="I125" s="3471"/>
      <c r="J125" s="3471"/>
      <c r="K125" s="3471"/>
      <c r="L125" s="3471"/>
      <c r="M125" s="3471"/>
      <c r="N125" s="3471"/>
      <c r="O125" s="3471"/>
      <c r="P125" s="3471"/>
      <c r="Q125" s="3471"/>
      <c r="R125" s="3471"/>
      <c r="S125" s="3471"/>
      <c r="T125" s="3471"/>
    </row>
    <row r="126" spans="1:20">
      <c r="A126" s="3471"/>
      <c r="B126" s="3471"/>
      <c r="C126" s="3471"/>
      <c r="D126" s="3471"/>
      <c r="E126" s="3471"/>
      <c r="F126" s="3471"/>
      <c r="G126" s="3471"/>
      <c r="H126" s="3471"/>
      <c r="I126" s="3471"/>
      <c r="J126" s="3471"/>
      <c r="K126" s="3471"/>
      <c r="L126" s="3471"/>
      <c r="M126" s="3471"/>
      <c r="N126" s="3471"/>
      <c r="O126" s="3471"/>
      <c r="P126" s="3471"/>
      <c r="Q126" s="3471"/>
      <c r="R126" s="3471"/>
      <c r="S126" s="3471"/>
      <c r="T126" s="3471"/>
    </row>
    <row r="127" spans="1:20">
      <c r="A127" s="3471"/>
      <c r="B127" s="3471"/>
      <c r="C127" s="3471"/>
      <c r="D127" s="3471"/>
      <c r="E127" s="3471"/>
      <c r="F127" s="3471"/>
      <c r="G127" s="3471"/>
      <c r="H127" s="3471"/>
      <c r="I127" s="3471"/>
      <c r="J127" s="3471"/>
      <c r="K127" s="3471"/>
      <c r="L127" s="3471"/>
      <c r="M127" s="3471"/>
      <c r="N127" s="3471"/>
      <c r="O127" s="3471"/>
      <c r="P127" s="3471"/>
      <c r="Q127" s="3471"/>
      <c r="R127" s="3471"/>
      <c r="S127" s="3471"/>
      <c r="T127" s="3471"/>
    </row>
    <row r="128" spans="1:20">
      <c r="A128" s="3471"/>
      <c r="B128" s="3471"/>
      <c r="C128" s="3471"/>
      <c r="D128" s="3471"/>
      <c r="E128" s="3471"/>
      <c r="F128" s="3471"/>
      <c r="G128" s="3471"/>
      <c r="H128" s="3471"/>
      <c r="I128" s="3471"/>
      <c r="J128" s="3471"/>
      <c r="K128" s="3471"/>
      <c r="L128" s="3471"/>
      <c r="M128" s="3471"/>
      <c r="N128" s="3471"/>
      <c r="O128" s="3471"/>
      <c r="P128" s="3471"/>
      <c r="Q128" s="3471"/>
      <c r="R128" s="3471"/>
      <c r="S128" s="3471"/>
      <c r="T128" s="3471"/>
    </row>
    <row r="129" spans="1:20">
      <c r="A129" s="3471"/>
      <c r="B129" s="3471"/>
      <c r="C129" s="3471"/>
      <c r="D129" s="3471"/>
      <c r="E129" s="3471"/>
      <c r="F129" s="3471"/>
      <c r="G129" s="3471"/>
      <c r="H129" s="3471"/>
      <c r="I129" s="3471"/>
      <c r="J129" s="3471"/>
      <c r="K129" s="3471"/>
      <c r="L129" s="3471"/>
      <c r="M129" s="3471"/>
      <c r="N129" s="3471"/>
      <c r="O129" s="3471"/>
      <c r="P129" s="3471"/>
      <c r="Q129" s="3471"/>
      <c r="R129" s="3471"/>
      <c r="S129" s="3471"/>
      <c r="T129" s="3471"/>
    </row>
    <row r="130" spans="1:20">
      <c r="A130" s="3471"/>
      <c r="B130" s="3471"/>
      <c r="C130" s="3471"/>
      <c r="D130" s="3471"/>
      <c r="E130" s="3471"/>
      <c r="F130" s="3471"/>
      <c r="G130" s="3471"/>
      <c r="H130" s="3471"/>
      <c r="I130" s="3471"/>
      <c r="J130" s="3471"/>
      <c r="K130" s="3471"/>
      <c r="L130" s="3471"/>
      <c r="M130" s="3471"/>
      <c r="N130" s="3471"/>
      <c r="O130" s="3471"/>
      <c r="P130" s="3471"/>
      <c r="Q130" s="3471"/>
      <c r="R130" s="3471"/>
      <c r="S130" s="3471"/>
      <c r="T130" s="3471"/>
    </row>
    <row r="131" spans="1:20">
      <c r="A131" s="3471"/>
      <c r="B131" s="3471"/>
      <c r="C131" s="3471"/>
      <c r="D131" s="3471"/>
      <c r="E131" s="3471"/>
      <c r="F131" s="3471"/>
      <c r="G131" s="3471"/>
      <c r="H131" s="3471"/>
      <c r="I131" s="3471"/>
      <c r="J131" s="3471"/>
      <c r="K131" s="3471"/>
      <c r="L131" s="3471"/>
      <c r="M131" s="3471"/>
      <c r="N131" s="3471"/>
      <c r="O131" s="3471"/>
      <c r="P131" s="3471"/>
      <c r="Q131" s="3471"/>
      <c r="R131" s="3471"/>
      <c r="S131" s="3471"/>
      <c r="T131" s="3471"/>
    </row>
    <row r="132" spans="1:20">
      <c r="A132" s="3471"/>
      <c r="B132" s="3471"/>
      <c r="C132" s="3471"/>
      <c r="D132" s="3471"/>
      <c r="E132" s="3471"/>
      <c r="F132" s="3471"/>
      <c r="G132" s="3471"/>
      <c r="H132" s="3471"/>
      <c r="I132" s="3471"/>
      <c r="J132" s="3471"/>
      <c r="K132" s="3471"/>
      <c r="L132" s="3471"/>
      <c r="M132" s="3471"/>
      <c r="N132" s="3471"/>
      <c r="O132" s="3471"/>
      <c r="P132" s="3471"/>
      <c r="Q132" s="3471"/>
      <c r="R132" s="3471"/>
      <c r="S132" s="3471"/>
      <c r="T132" s="3471"/>
    </row>
    <row r="133" spans="1:20">
      <c r="A133" s="3471"/>
      <c r="B133" s="3471"/>
      <c r="C133" s="3471"/>
      <c r="D133" s="3471"/>
      <c r="E133" s="3471"/>
      <c r="F133" s="3471"/>
      <c r="G133" s="3471"/>
      <c r="H133" s="3471"/>
      <c r="I133" s="3471"/>
      <c r="J133" s="3471"/>
      <c r="K133" s="3471"/>
      <c r="L133" s="3471"/>
      <c r="M133" s="3471"/>
      <c r="N133" s="3471"/>
      <c r="O133" s="3471"/>
      <c r="P133" s="3471"/>
      <c r="Q133" s="3471"/>
      <c r="R133" s="3471"/>
      <c r="S133" s="3471"/>
      <c r="T133" s="3471"/>
    </row>
    <row r="134" spans="1:20">
      <c r="A134" s="3471"/>
      <c r="B134" s="3471"/>
      <c r="C134" s="3471"/>
      <c r="D134" s="3471"/>
      <c r="E134" s="3471"/>
      <c r="F134" s="3471"/>
      <c r="G134" s="3471"/>
      <c r="H134" s="3471"/>
      <c r="I134" s="3471"/>
      <c r="J134" s="3471"/>
      <c r="K134" s="3471"/>
      <c r="L134" s="3471"/>
      <c r="M134" s="3471"/>
      <c r="N134" s="3471"/>
      <c r="O134" s="3471"/>
      <c r="P134" s="3471"/>
      <c r="Q134" s="3471"/>
      <c r="R134" s="3471"/>
      <c r="S134" s="3471"/>
      <c r="T134" s="3471"/>
    </row>
    <row r="135" spans="1:20">
      <c r="A135" s="3471"/>
      <c r="B135" s="3471"/>
      <c r="C135" s="3471"/>
      <c r="D135" s="3471"/>
      <c r="E135" s="3471"/>
      <c r="F135" s="3471"/>
      <c r="G135" s="3471"/>
      <c r="H135" s="3471"/>
      <c r="I135" s="3471"/>
      <c r="J135" s="3471"/>
      <c r="K135" s="3471"/>
      <c r="L135" s="3471"/>
      <c r="M135" s="3471"/>
      <c r="N135" s="3471"/>
      <c r="O135" s="3471"/>
      <c r="P135" s="3471"/>
      <c r="Q135" s="3471"/>
      <c r="R135" s="3471"/>
      <c r="S135" s="3471"/>
      <c r="T135" s="3471"/>
    </row>
    <row r="136" spans="1:20">
      <c r="A136" s="3471"/>
      <c r="B136" s="3471"/>
      <c r="C136" s="3471"/>
      <c r="D136" s="3471"/>
      <c r="E136" s="3471"/>
      <c r="F136" s="3471"/>
      <c r="G136" s="3471"/>
      <c r="H136" s="3471"/>
      <c r="I136" s="3471"/>
      <c r="J136" s="3471"/>
      <c r="K136" s="3471"/>
      <c r="L136" s="3471"/>
      <c r="M136" s="3471"/>
      <c r="N136" s="3471"/>
      <c r="O136" s="3471"/>
      <c r="P136" s="3471"/>
      <c r="Q136" s="3471"/>
      <c r="R136" s="3471"/>
      <c r="S136" s="3471"/>
      <c r="T136" s="3471"/>
    </row>
    <row r="137" spans="1:20">
      <c r="A137" s="3471"/>
      <c r="B137" s="3471"/>
      <c r="C137" s="3471"/>
      <c r="D137" s="3471"/>
      <c r="E137" s="3471"/>
      <c r="F137" s="3471"/>
      <c r="G137" s="3471"/>
      <c r="H137" s="3471"/>
      <c r="I137" s="3471"/>
      <c r="J137" s="3471"/>
      <c r="K137" s="3471"/>
      <c r="L137" s="3471"/>
      <c r="M137" s="3471"/>
      <c r="N137" s="3471"/>
      <c r="O137" s="3471"/>
      <c r="P137" s="3471"/>
      <c r="Q137" s="3471"/>
      <c r="R137" s="3471"/>
      <c r="S137" s="3471"/>
      <c r="T137" s="3471"/>
    </row>
    <row r="138" spans="1:20">
      <c r="A138" s="3471"/>
      <c r="B138" s="3471"/>
      <c r="C138" s="3471"/>
      <c r="D138" s="3471"/>
      <c r="E138" s="3471"/>
      <c r="F138" s="3471"/>
      <c r="G138" s="3471"/>
      <c r="H138" s="3471"/>
      <c r="I138" s="3471"/>
      <c r="J138" s="3471"/>
      <c r="K138" s="3471"/>
      <c r="L138" s="3471"/>
      <c r="M138" s="3471"/>
      <c r="N138" s="3471"/>
      <c r="O138" s="3471"/>
      <c r="P138" s="3471"/>
      <c r="Q138" s="3471"/>
      <c r="R138" s="3471"/>
      <c r="S138" s="3471"/>
      <c r="T138" s="3471"/>
    </row>
    <row r="139" spans="1:20">
      <c r="A139" s="3471"/>
      <c r="B139" s="3471"/>
      <c r="C139" s="3471"/>
      <c r="D139" s="3471"/>
      <c r="E139" s="3471"/>
      <c r="F139" s="3471"/>
      <c r="G139" s="3471"/>
      <c r="H139" s="3471"/>
      <c r="I139" s="3471"/>
      <c r="J139" s="3471"/>
      <c r="K139" s="3471"/>
      <c r="L139" s="3471"/>
      <c r="M139" s="3471"/>
      <c r="N139" s="3471"/>
      <c r="O139" s="3471"/>
      <c r="P139" s="3471"/>
      <c r="Q139" s="3471"/>
      <c r="R139" s="3471"/>
      <c r="S139" s="3471"/>
      <c r="T139" s="3471"/>
    </row>
    <row r="140" spans="1:20">
      <c r="A140" s="3471"/>
      <c r="B140" s="3471"/>
      <c r="C140" s="3471"/>
      <c r="D140" s="3471"/>
      <c r="E140" s="3471"/>
      <c r="F140" s="3471"/>
      <c r="G140" s="3471"/>
      <c r="H140" s="3471"/>
      <c r="I140" s="3471"/>
      <c r="J140" s="3471"/>
      <c r="K140" s="3471"/>
      <c r="L140" s="3471"/>
      <c r="M140" s="3471"/>
      <c r="N140" s="3471"/>
      <c r="O140" s="3471"/>
      <c r="P140" s="3471"/>
      <c r="Q140" s="3471"/>
      <c r="R140" s="3471"/>
      <c r="S140" s="3471"/>
      <c r="T140" s="3471"/>
    </row>
    <row r="141" spans="1:20">
      <c r="A141" s="3471"/>
      <c r="B141" s="3471"/>
      <c r="C141" s="3471"/>
      <c r="D141" s="3471"/>
      <c r="E141" s="3471"/>
      <c r="F141" s="3471"/>
      <c r="G141" s="3471"/>
      <c r="H141" s="3471"/>
      <c r="I141" s="3471"/>
      <c r="J141" s="3471"/>
      <c r="K141" s="3471"/>
      <c r="L141" s="3471"/>
      <c r="M141" s="3471"/>
      <c r="N141" s="3471"/>
      <c r="O141" s="3471"/>
      <c r="P141" s="3471"/>
      <c r="Q141" s="3471"/>
      <c r="R141" s="3471"/>
      <c r="S141" s="3471"/>
      <c r="T141" s="3471"/>
    </row>
    <row r="142" spans="1:20">
      <c r="A142" s="3471"/>
      <c r="B142" s="3471"/>
      <c r="C142" s="3471"/>
      <c r="D142" s="3471"/>
      <c r="E142" s="3471"/>
      <c r="F142" s="3471"/>
      <c r="G142" s="3471"/>
      <c r="H142" s="3471"/>
      <c r="I142" s="3471"/>
      <c r="J142" s="3471"/>
      <c r="K142" s="3471"/>
      <c r="L142" s="3471"/>
      <c r="M142" s="3471"/>
      <c r="N142" s="3471"/>
      <c r="O142" s="3471"/>
      <c r="P142" s="3471"/>
      <c r="Q142" s="3471"/>
      <c r="R142" s="3471"/>
      <c r="S142" s="3471"/>
      <c r="T142" s="3471"/>
    </row>
    <row r="143" spans="1:20">
      <c r="A143" s="3471"/>
      <c r="B143" s="3471"/>
      <c r="C143" s="3471"/>
      <c r="D143" s="3471"/>
      <c r="E143" s="3471"/>
      <c r="F143" s="3471"/>
      <c r="G143" s="3471"/>
      <c r="H143" s="3471"/>
      <c r="I143" s="3471"/>
      <c r="J143" s="3471"/>
      <c r="K143" s="3471"/>
      <c r="L143" s="3471"/>
      <c r="M143" s="3471"/>
      <c r="N143" s="3471"/>
      <c r="O143" s="3471"/>
      <c r="P143" s="3471"/>
      <c r="Q143" s="3471"/>
      <c r="R143" s="3471"/>
      <c r="S143" s="3471"/>
      <c r="T143" s="3471"/>
    </row>
    <row r="144" spans="1:20">
      <c r="A144" s="3471"/>
      <c r="B144" s="3471"/>
      <c r="C144" s="3471"/>
      <c r="D144" s="3471"/>
      <c r="E144" s="3471"/>
      <c r="F144" s="3471"/>
      <c r="G144" s="3471"/>
      <c r="H144" s="3471"/>
      <c r="I144" s="3471"/>
      <c r="J144" s="3471"/>
      <c r="K144" s="3471"/>
      <c r="L144" s="3471"/>
      <c r="M144" s="3471"/>
      <c r="N144" s="3471"/>
      <c r="O144" s="3471"/>
      <c r="P144" s="3471"/>
      <c r="Q144" s="3471"/>
      <c r="R144" s="3471"/>
      <c r="S144" s="3471"/>
      <c r="T144" s="3471"/>
    </row>
    <row r="145" spans="1:20">
      <c r="A145" s="3471"/>
      <c r="B145" s="3471"/>
      <c r="C145" s="3471"/>
      <c r="D145" s="3471"/>
      <c r="E145" s="3471"/>
      <c r="F145" s="3471"/>
      <c r="G145" s="3471"/>
      <c r="H145" s="3471"/>
      <c r="I145" s="3471"/>
      <c r="J145" s="3471"/>
      <c r="K145" s="3471"/>
      <c r="L145" s="3471"/>
      <c r="M145" s="3471"/>
      <c r="N145" s="3471"/>
      <c r="O145" s="3471"/>
      <c r="P145" s="3471"/>
      <c r="Q145" s="3471"/>
      <c r="R145" s="3471"/>
      <c r="S145" s="3471"/>
      <c r="T145" s="3471"/>
    </row>
    <row r="146" spans="1:20">
      <c r="A146" s="3471"/>
      <c r="B146" s="3471"/>
      <c r="C146" s="3471"/>
      <c r="D146" s="3471"/>
      <c r="E146" s="3471"/>
      <c r="F146" s="3471"/>
      <c r="G146" s="3471"/>
      <c r="H146" s="3471"/>
      <c r="I146" s="3471"/>
      <c r="J146" s="3471"/>
      <c r="K146" s="3471"/>
      <c r="L146" s="3471"/>
      <c r="M146" s="3471"/>
      <c r="N146" s="3471"/>
      <c r="O146" s="3471"/>
      <c r="P146" s="3471"/>
      <c r="Q146" s="3471"/>
      <c r="R146" s="3471"/>
      <c r="S146" s="3471"/>
      <c r="T146" s="3471"/>
    </row>
    <row r="147" spans="1:20">
      <c r="A147" s="3471"/>
      <c r="B147" s="3471"/>
      <c r="C147" s="3471"/>
      <c r="D147" s="3471"/>
      <c r="E147" s="3471"/>
      <c r="F147" s="3471"/>
      <c r="G147" s="3471"/>
      <c r="H147" s="3471"/>
      <c r="I147" s="3471"/>
      <c r="J147" s="3471"/>
      <c r="K147" s="3471"/>
      <c r="L147" s="3471"/>
      <c r="M147" s="3471"/>
      <c r="N147" s="3471"/>
      <c r="O147" s="3471"/>
      <c r="P147" s="3471"/>
      <c r="Q147" s="3471"/>
      <c r="R147" s="3471"/>
      <c r="S147" s="3471"/>
      <c r="T147" s="3471"/>
    </row>
    <row r="148" spans="1:20">
      <c r="A148" s="3471"/>
      <c r="B148" s="3471"/>
      <c r="C148" s="3471"/>
      <c r="D148" s="3471"/>
      <c r="E148" s="3471"/>
      <c r="F148" s="3471"/>
      <c r="G148" s="3471"/>
      <c r="H148" s="3471"/>
      <c r="I148" s="3471"/>
      <c r="J148" s="3471"/>
      <c r="K148" s="3471"/>
      <c r="L148" s="3471"/>
      <c r="M148" s="3471"/>
      <c r="N148" s="3471"/>
      <c r="O148" s="3471"/>
      <c r="P148" s="3471"/>
      <c r="Q148" s="3471"/>
      <c r="R148" s="3471"/>
      <c r="S148" s="3471"/>
      <c r="T148" s="3471"/>
    </row>
    <row r="149" spans="1:20">
      <c r="A149" s="3471"/>
      <c r="B149" s="3471"/>
      <c r="C149" s="3471"/>
      <c r="D149" s="3471"/>
      <c r="E149" s="3471"/>
      <c r="F149" s="3471"/>
      <c r="G149" s="3471"/>
      <c r="H149" s="3471"/>
      <c r="I149" s="3471"/>
      <c r="J149" s="3471"/>
      <c r="K149" s="3471"/>
      <c r="L149" s="3471"/>
      <c r="M149" s="3471"/>
      <c r="N149" s="3471"/>
      <c r="O149" s="3471"/>
      <c r="P149" s="3471"/>
      <c r="Q149" s="3471"/>
      <c r="R149" s="3471"/>
      <c r="S149" s="3471"/>
      <c r="T149" s="3471"/>
    </row>
    <row r="150" spans="1:20">
      <c r="A150" s="3471"/>
      <c r="B150" s="3471"/>
      <c r="C150" s="3471"/>
      <c r="D150" s="3471"/>
      <c r="E150" s="3471"/>
      <c r="F150" s="3471"/>
      <c r="G150" s="3471"/>
      <c r="H150" s="3471"/>
      <c r="I150" s="3471"/>
      <c r="J150" s="3471"/>
      <c r="K150" s="3471"/>
      <c r="L150" s="3471"/>
      <c r="M150" s="3471"/>
      <c r="N150" s="3471"/>
      <c r="O150" s="3471"/>
      <c r="P150" s="3471"/>
      <c r="Q150" s="3471"/>
      <c r="R150" s="3471"/>
      <c r="S150" s="3471"/>
      <c r="T150" s="3471"/>
    </row>
    <row r="151" spans="1:20">
      <c r="A151" s="3471"/>
      <c r="B151" s="3471"/>
      <c r="C151" s="3471"/>
      <c r="D151" s="3471"/>
      <c r="E151" s="3471"/>
      <c r="F151" s="3471"/>
      <c r="G151" s="3471"/>
      <c r="H151" s="3471"/>
      <c r="I151" s="3471"/>
      <c r="J151" s="3471"/>
      <c r="K151" s="3471"/>
      <c r="L151" s="3471"/>
      <c r="M151" s="3471"/>
      <c r="N151" s="3471"/>
      <c r="O151" s="3471"/>
      <c r="P151" s="3471"/>
      <c r="Q151" s="3471"/>
      <c r="R151" s="3471"/>
      <c r="S151" s="3471"/>
      <c r="T151" s="3471"/>
    </row>
    <row r="152" spans="1:20">
      <c r="A152" s="3471"/>
      <c r="B152" s="3471"/>
      <c r="C152" s="3471"/>
      <c r="D152" s="3471"/>
      <c r="E152" s="3471"/>
      <c r="F152" s="3471"/>
      <c r="G152" s="3471"/>
      <c r="H152" s="3471"/>
      <c r="I152" s="3471"/>
      <c r="J152" s="3471"/>
      <c r="K152" s="3471"/>
      <c r="L152" s="3471"/>
      <c r="M152" s="3471"/>
      <c r="N152" s="3471"/>
      <c r="O152" s="3471"/>
      <c r="P152" s="3471"/>
      <c r="Q152" s="3471"/>
      <c r="R152" s="3471"/>
      <c r="S152" s="3471"/>
      <c r="T152" s="3471"/>
    </row>
    <row r="153" spans="1:20">
      <c r="A153" s="3471"/>
      <c r="B153" s="3471"/>
      <c r="C153" s="3471"/>
      <c r="D153" s="3471"/>
      <c r="E153" s="3471"/>
      <c r="F153" s="3471"/>
      <c r="G153" s="3471"/>
      <c r="H153" s="3471"/>
      <c r="I153" s="3471"/>
      <c r="J153" s="3471"/>
      <c r="K153" s="3471"/>
      <c r="L153" s="3471"/>
      <c r="M153" s="3471"/>
      <c r="N153" s="3471"/>
      <c r="O153" s="3471"/>
      <c r="P153" s="3471"/>
      <c r="Q153" s="3471"/>
      <c r="R153" s="3471"/>
      <c r="S153" s="3471"/>
      <c r="T153" s="3471"/>
    </row>
    <row r="154" spans="1:20">
      <c r="A154" s="3471"/>
      <c r="B154" s="3471"/>
      <c r="C154" s="3471"/>
      <c r="D154" s="3471"/>
      <c r="E154" s="3471"/>
      <c r="F154" s="3471"/>
      <c r="G154" s="3471"/>
      <c r="H154" s="3471"/>
      <c r="I154" s="3471"/>
      <c r="J154" s="3471"/>
      <c r="K154" s="3471"/>
      <c r="L154" s="3471"/>
      <c r="M154" s="3471"/>
      <c r="N154" s="3471"/>
      <c r="O154" s="3471"/>
      <c r="P154" s="3471"/>
      <c r="Q154" s="3471"/>
      <c r="R154" s="3471"/>
      <c r="S154" s="3471"/>
      <c r="T154" s="3471"/>
    </row>
    <row r="155" spans="1:20">
      <c r="A155" s="3471"/>
      <c r="B155" s="3471"/>
      <c r="C155" s="3471"/>
      <c r="D155" s="3471"/>
      <c r="E155" s="3471"/>
      <c r="F155" s="3471"/>
      <c r="G155" s="3471"/>
      <c r="H155" s="3471"/>
      <c r="I155" s="3471"/>
      <c r="J155" s="3471"/>
      <c r="K155" s="3471"/>
      <c r="L155" s="3471"/>
      <c r="M155" s="3471"/>
      <c r="N155" s="3471"/>
      <c r="O155" s="3471"/>
      <c r="P155" s="3471"/>
      <c r="Q155" s="3471"/>
      <c r="R155" s="3471"/>
      <c r="S155" s="3471"/>
      <c r="T155" s="3471"/>
    </row>
    <row r="156" spans="1:20">
      <c r="A156" s="3471"/>
      <c r="B156" s="3471"/>
      <c r="C156" s="3471"/>
      <c r="D156" s="3471"/>
      <c r="E156" s="3471"/>
      <c r="F156" s="3471"/>
      <c r="G156" s="3471"/>
      <c r="H156" s="3471"/>
      <c r="I156" s="3471"/>
      <c r="J156" s="3471"/>
      <c r="K156" s="3471"/>
      <c r="L156" s="3471"/>
      <c r="M156" s="3471"/>
      <c r="N156" s="3471"/>
      <c r="O156" s="3471"/>
      <c r="P156" s="3471"/>
      <c r="Q156" s="3471"/>
      <c r="R156" s="3471"/>
      <c r="S156" s="3471"/>
      <c r="T156" s="3471"/>
    </row>
    <row r="157" spans="1:20">
      <c r="A157" s="3471"/>
      <c r="B157" s="3471"/>
      <c r="C157" s="3471"/>
      <c r="D157" s="3471"/>
      <c r="E157" s="3471"/>
      <c r="F157" s="3471"/>
      <c r="G157" s="3471"/>
      <c r="H157" s="3471"/>
      <c r="I157" s="3471"/>
      <c r="J157" s="3471"/>
      <c r="K157" s="3471"/>
      <c r="L157" s="3471"/>
      <c r="M157" s="3471"/>
      <c r="N157" s="3471"/>
      <c r="O157" s="3471"/>
      <c r="P157" s="3471"/>
      <c r="Q157" s="3471"/>
      <c r="R157" s="3471"/>
      <c r="S157" s="3471"/>
      <c r="T157" s="3471"/>
    </row>
    <row r="158" spans="1:20">
      <c r="A158" s="3471"/>
      <c r="B158" s="3471"/>
      <c r="C158" s="3471"/>
      <c r="D158" s="3471"/>
      <c r="E158" s="3471"/>
      <c r="F158" s="3471"/>
      <c r="G158" s="3471"/>
      <c r="H158" s="3471"/>
      <c r="I158" s="3471"/>
      <c r="J158" s="3471"/>
      <c r="K158" s="3471"/>
      <c r="L158" s="3471"/>
      <c r="M158" s="3471"/>
      <c r="N158" s="3471"/>
      <c r="O158" s="3471"/>
      <c r="P158" s="3471"/>
      <c r="Q158" s="3471"/>
      <c r="R158" s="3471"/>
      <c r="S158" s="3471"/>
      <c r="T158" s="3471"/>
    </row>
    <row r="159" spans="1:20">
      <c r="A159" s="3471"/>
      <c r="B159" s="3471"/>
      <c r="C159" s="3471"/>
      <c r="D159" s="3471"/>
      <c r="E159" s="3471"/>
      <c r="F159" s="3471"/>
      <c r="G159" s="3471"/>
      <c r="H159" s="3471"/>
      <c r="I159" s="3471"/>
      <c r="J159" s="3471"/>
      <c r="K159" s="3471"/>
      <c r="L159" s="3471"/>
      <c r="M159" s="3471"/>
      <c r="N159" s="3471"/>
      <c r="O159" s="3471"/>
      <c r="P159" s="3471"/>
      <c r="Q159" s="3471"/>
      <c r="R159" s="3471"/>
      <c r="S159" s="3471"/>
      <c r="T159" s="3471"/>
    </row>
    <row r="160" spans="1:20">
      <c r="A160" s="3471"/>
      <c r="B160" s="3471"/>
      <c r="C160" s="3471"/>
      <c r="D160" s="3471"/>
      <c r="E160" s="3471"/>
      <c r="F160" s="3471"/>
      <c r="G160" s="3471"/>
      <c r="H160" s="3471"/>
      <c r="I160" s="3471"/>
      <c r="J160" s="3471"/>
      <c r="K160" s="3471"/>
      <c r="L160" s="3471"/>
      <c r="M160" s="3471"/>
      <c r="N160" s="3471"/>
      <c r="O160" s="3471"/>
      <c r="P160" s="3471"/>
      <c r="Q160" s="3471"/>
      <c r="R160" s="3471"/>
      <c r="S160" s="3471"/>
      <c r="T160" s="3471"/>
    </row>
    <row r="161" spans="1:20">
      <c r="A161" s="3471"/>
      <c r="B161" s="3471"/>
      <c r="C161" s="3471"/>
      <c r="D161" s="3471"/>
      <c r="E161" s="3471"/>
      <c r="F161" s="3471"/>
      <c r="G161" s="3471"/>
      <c r="H161" s="3471"/>
      <c r="I161" s="3471"/>
      <c r="J161" s="3471"/>
      <c r="K161" s="3471"/>
      <c r="L161" s="3471"/>
      <c r="M161" s="3471"/>
      <c r="N161" s="3471"/>
      <c r="O161" s="3471"/>
      <c r="P161" s="3471"/>
      <c r="Q161" s="3471"/>
      <c r="R161" s="3471"/>
      <c r="S161" s="3471"/>
      <c r="T161" s="3471"/>
    </row>
    <row r="162" spans="1:20">
      <c r="A162" s="3471"/>
      <c r="B162" s="3471"/>
      <c r="C162" s="3471"/>
      <c r="D162" s="3471"/>
      <c r="E162" s="3471"/>
      <c r="F162" s="3471"/>
      <c r="G162" s="3471"/>
      <c r="H162" s="3471"/>
      <c r="I162" s="3471"/>
      <c r="J162" s="3471"/>
      <c r="K162" s="3471"/>
      <c r="L162" s="3471"/>
      <c r="M162" s="3471"/>
      <c r="N162" s="3471"/>
      <c r="O162" s="3471"/>
      <c r="P162" s="3471"/>
      <c r="Q162" s="3471"/>
      <c r="R162" s="3471"/>
      <c r="S162" s="3471"/>
      <c r="T162" s="3471"/>
    </row>
    <row r="163" spans="1:20">
      <c r="A163" s="3471"/>
      <c r="B163" s="3471"/>
      <c r="C163" s="3471"/>
      <c r="D163" s="3471"/>
      <c r="E163" s="3471"/>
      <c r="F163" s="3471"/>
      <c r="G163" s="3471"/>
      <c r="H163" s="3471"/>
      <c r="I163" s="3471"/>
      <c r="J163" s="3471"/>
      <c r="K163" s="3471"/>
      <c r="L163" s="3471"/>
      <c r="M163" s="3471"/>
      <c r="N163" s="3471"/>
      <c r="O163" s="3471"/>
      <c r="P163" s="3471"/>
      <c r="Q163" s="3471"/>
      <c r="R163" s="3471"/>
      <c r="S163" s="3471"/>
      <c r="T163" s="3471"/>
    </row>
    <row r="164" spans="1:20">
      <c r="A164" s="3471"/>
      <c r="B164" s="3471"/>
      <c r="C164" s="3471"/>
      <c r="D164" s="3471"/>
      <c r="E164" s="3471"/>
      <c r="F164" s="3471"/>
      <c r="G164" s="3471"/>
      <c r="H164" s="3471"/>
      <c r="I164" s="3471"/>
      <c r="J164" s="3471"/>
      <c r="K164" s="3471"/>
      <c r="L164" s="3471"/>
      <c r="M164" s="3471"/>
      <c r="N164" s="3471"/>
      <c r="O164" s="3471"/>
      <c r="P164" s="3471"/>
      <c r="Q164" s="3471"/>
      <c r="R164" s="3471"/>
      <c r="S164" s="3471"/>
      <c r="T164" s="3471"/>
    </row>
    <row r="165" spans="1:20">
      <c r="A165" s="3471"/>
      <c r="B165" s="3471"/>
      <c r="C165" s="3471"/>
      <c r="D165" s="3471"/>
      <c r="E165" s="3471"/>
      <c r="F165" s="3471"/>
      <c r="G165" s="3471"/>
      <c r="H165" s="3471"/>
      <c r="I165" s="3471"/>
      <c r="J165" s="3471"/>
      <c r="K165" s="3471"/>
      <c r="L165" s="3471"/>
      <c r="M165" s="3471"/>
      <c r="N165" s="3471"/>
      <c r="O165" s="3471"/>
      <c r="P165" s="3471"/>
      <c r="Q165" s="3471"/>
      <c r="R165" s="3471"/>
      <c r="S165" s="3471"/>
      <c r="T165" s="3471"/>
    </row>
    <row r="166" spans="1:20">
      <c r="A166" s="3471"/>
      <c r="B166" s="3471"/>
      <c r="C166" s="3471"/>
      <c r="D166" s="3471"/>
      <c r="E166" s="3471"/>
      <c r="F166" s="3471"/>
      <c r="G166" s="3471"/>
      <c r="H166" s="3471"/>
      <c r="I166" s="3471"/>
      <c r="J166" s="3471"/>
      <c r="K166" s="3471"/>
      <c r="L166" s="3471"/>
      <c r="M166" s="3471"/>
      <c r="N166" s="3471"/>
      <c r="O166" s="3471"/>
      <c r="P166" s="3471"/>
      <c r="Q166" s="3471"/>
      <c r="R166" s="3471"/>
      <c r="S166" s="3471"/>
      <c r="T166" s="3471"/>
    </row>
    <row r="167" spans="1:20">
      <c r="A167" s="3471"/>
      <c r="B167" s="3471"/>
      <c r="C167" s="3471"/>
      <c r="D167" s="3471"/>
      <c r="E167" s="3471"/>
      <c r="F167" s="3471"/>
      <c r="G167" s="3471"/>
      <c r="H167" s="3471"/>
      <c r="I167" s="3471"/>
      <c r="J167" s="3471"/>
      <c r="K167" s="3471"/>
      <c r="L167" s="3471"/>
      <c r="M167" s="3471"/>
      <c r="N167" s="3471"/>
      <c r="O167" s="3471"/>
      <c r="P167" s="3471"/>
      <c r="Q167" s="3471"/>
      <c r="R167" s="3471"/>
      <c r="S167" s="3471"/>
      <c r="T167" s="3471"/>
    </row>
    <row r="168" spans="1:20">
      <c r="A168" s="3471"/>
      <c r="B168" s="3471"/>
      <c r="C168" s="3471"/>
      <c r="D168" s="3471"/>
      <c r="E168" s="3471"/>
      <c r="F168" s="3471"/>
      <c r="G168" s="3471"/>
      <c r="H168" s="3471"/>
      <c r="I168" s="3471"/>
      <c r="J168" s="3471"/>
      <c r="K168" s="3471"/>
      <c r="L168" s="3471"/>
      <c r="M168" s="3471"/>
      <c r="N168" s="3471"/>
      <c r="O168" s="3471"/>
      <c r="P168" s="3471"/>
      <c r="Q168" s="3471"/>
      <c r="R168" s="3471"/>
      <c r="S168" s="3471"/>
      <c r="T168" s="3471"/>
    </row>
    <row r="169" spans="1:20">
      <c r="A169" s="3471"/>
      <c r="B169" s="3471"/>
      <c r="C169" s="3471"/>
      <c r="D169" s="3471"/>
      <c r="E169" s="3471"/>
      <c r="F169" s="3471"/>
      <c r="G169" s="3471"/>
      <c r="H169" s="3471"/>
      <c r="I169" s="3471"/>
      <c r="J169" s="3471"/>
      <c r="K169" s="3471"/>
      <c r="L169" s="3471"/>
      <c r="M169" s="3471"/>
      <c r="N169" s="3471"/>
      <c r="O169" s="3471"/>
      <c r="P169" s="3471"/>
      <c r="Q169" s="3471"/>
      <c r="R169" s="3471"/>
      <c r="S169" s="3471"/>
      <c r="T169" s="3471"/>
    </row>
    <row r="170" spans="1:20">
      <c r="A170" s="3471"/>
      <c r="B170" s="3471"/>
      <c r="C170" s="3471"/>
      <c r="D170" s="3471"/>
      <c r="E170" s="3471"/>
      <c r="F170" s="3471"/>
      <c r="G170" s="3471"/>
      <c r="H170" s="3471"/>
      <c r="I170" s="3471"/>
      <c r="J170" s="3471"/>
      <c r="K170" s="3471"/>
      <c r="L170" s="3471"/>
      <c r="M170" s="3471"/>
      <c r="N170" s="3471"/>
      <c r="O170" s="3471"/>
      <c r="P170" s="3471"/>
      <c r="Q170" s="3471"/>
      <c r="R170" s="3471"/>
      <c r="S170" s="3471"/>
      <c r="T170" s="3471"/>
    </row>
    <row r="171" spans="1:20">
      <c r="A171" s="3471"/>
      <c r="B171" s="3471"/>
      <c r="C171" s="3471"/>
      <c r="D171" s="3471"/>
      <c r="E171" s="3471"/>
      <c r="F171" s="3471"/>
      <c r="G171" s="3471"/>
      <c r="H171" s="3471"/>
      <c r="I171" s="3471"/>
      <c r="J171" s="3471"/>
      <c r="K171" s="3471"/>
      <c r="L171" s="3471"/>
      <c r="M171" s="3471"/>
      <c r="N171" s="3471"/>
      <c r="O171" s="3471"/>
      <c r="P171" s="3471"/>
      <c r="Q171" s="3471"/>
      <c r="R171" s="3471"/>
      <c r="S171" s="3471"/>
      <c r="T171" s="3471"/>
    </row>
    <row r="172" spans="1:20">
      <c r="A172" s="3471"/>
      <c r="B172" s="3471"/>
      <c r="C172" s="3471"/>
      <c r="D172" s="3471"/>
      <c r="E172" s="3471"/>
      <c r="F172" s="3471"/>
      <c r="G172" s="3471"/>
      <c r="H172" s="3471"/>
      <c r="I172" s="3471"/>
      <c r="J172" s="3471"/>
      <c r="K172" s="3471"/>
      <c r="L172" s="3471"/>
      <c r="M172" s="3471"/>
      <c r="N172" s="3471"/>
      <c r="O172" s="3471"/>
      <c r="P172" s="3471"/>
      <c r="Q172" s="3471"/>
      <c r="R172" s="3471"/>
      <c r="S172" s="3471"/>
      <c r="T172" s="3471"/>
    </row>
    <row r="173" spans="1:20">
      <c r="A173" s="3471"/>
      <c r="B173" s="3471"/>
      <c r="C173" s="3471"/>
      <c r="D173" s="3471"/>
      <c r="E173" s="3471"/>
      <c r="F173" s="3471"/>
      <c r="G173" s="3471"/>
      <c r="H173" s="3471"/>
      <c r="I173" s="3471"/>
      <c r="J173" s="3471"/>
      <c r="K173" s="3471"/>
      <c r="L173" s="3471"/>
      <c r="M173" s="3471"/>
      <c r="N173" s="3471"/>
      <c r="O173" s="3471"/>
      <c r="P173" s="3471"/>
      <c r="Q173" s="3471"/>
      <c r="R173" s="3471"/>
      <c r="S173" s="3471"/>
      <c r="T173" s="3471"/>
    </row>
    <row r="174" spans="1:20">
      <c r="A174" s="3471"/>
      <c r="B174" s="3471"/>
      <c r="C174" s="3471"/>
      <c r="D174" s="3471"/>
      <c r="E174" s="3471"/>
      <c r="F174" s="3471"/>
      <c r="G174" s="3471"/>
      <c r="H174" s="3471"/>
      <c r="I174" s="3471"/>
      <c r="J174" s="3471"/>
      <c r="K174" s="3471"/>
      <c r="L174" s="3471"/>
      <c r="M174" s="3471"/>
      <c r="N174" s="3471"/>
      <c r="O174" s="3471"/>
      <c r="P174" s="3471"/>
      <c r="Q174" s="3471"/>
      <c r="R174" s="3471"/>
      <c r="S174" s="3471"/>
      <c r="T174" s="3471"/>
    </row>
    <row r="175" spans="1:20">
      <c r="A175" s="3471"/>
      <c r="B175" s="3471"/>
      <c r="C175" s="3471"/>
      <c r="D175" s="3471"/>
      <c r="E175" s="3471"/>
      <c r="F175" s="3471"/>
      <c r="G175" s="3471"/>
      <c r="H175" s="3471"/>
      <c r="I175" s="3471"/>
      <c r="J175" s="3471"/>
      <c r="K175" s="3471"/>
      <c r="L175" s="3471"/>
      <c r="M175" s="3471"/>
      <c r="N175" s="3471"/>
      <c r="O175" s="3471"/>
      <c r="P175" s="3471"/>
      <c r="Q175" s="3471"/>
      <c r="R175" s="3471"/>
      <c r="S175" s="3471"/>
      <c r="T175" s="3471"/>
    </row>
    <row r="176" spans="1:20">
      <c r="A176" s="3471"/>
      <c r="B176" s="3471"/>
      <c r="C176" s="3471"/>
      <c r="D176" s="3471"/>
      <c r="E176" s="3471"/>
      <c r="F176" s="3471"/>
      <c r="G176" s="3471"/>
      <c r="H176" s="3471"/>
      <c r="I176" s="3471"/>
      <c r="J176" s="3471"/>
      <c r="K176" s="3471"/>
      <c r="L176" s="3471"/>
      <c r="M176" s="3471"/>
      <c r="N176" s="3471"/>
      <c r="O176" s="3471"/>
      <c r="P176" s="3471"/>
      <c r="Q176" s="3471"/>
      <c r="R176" s="3471"/>
      <c r="S176" s="3471"/>
      <c r="T176" s="3471"/>
    </row>
    <row r="177" spans="1:20">
      <c r="A177" s="3471"/>
      <c r="B177" s="3471"/>
      <c r="C177" s="3471"/>
      <c r="D177" s="3471"/>
      <c r="E177" s="3471"/>
      <c r="F177" s="3471"/>
      <c r="G177" s="3471"/>
      <c r="H177" s="3471"/>
      <c r="I177" s="3471"/>
      <c r="J177" s="3471"/>
      <c r="K177" s="3471"/>
      <c r="L177" s="3471"/>
      <c r="M177" s="3471"/>
      <c r="N177" s="3471"/>
      <c r="O177" s="3471"/>
      <c r="P177" s="3471"/>
      <c r="Q177" s="3471"/>
      <c r="R177" s="3471"/>
      <c r="S177" s="3471"/>
      <c r="T177" s="3471"/>
    </row>
    <row r="178" spans="1:20">
      <c r="A178" s="3471"/>
      <c r="B178" s="3471"/>
      <c r="C178" s="3471"/>
      <c r="D178" s="3471"/>
      <c r="E178" s="3471"/>
      <c r="F178" s="3471"/>
      <c r="G178" s="3471"/>
      <c r="H178" s="3471"/>
      <c r="I178" s="3471"/>
      <c r="J178" s="3471"/>
      <c r="K178" s="3471"/>
      <c r="L178" s="3471"/>
      <c r="M178" s="3471"/>
      <c r="N178" s="3471"/>
      <c r="O178" s="3471"/>
      <c r="P178" s="3471"/>
      <c r="Q178" s="3471"/>
      <c r="R178" s="3471"/>
      <c r="S178" s="3471"/>
      <c r="T178" s="3471"/>
    </row>
    <row r="179" spans="1:20">
      <c r="A179" s="3471"/>
      <c r="B179" s="3471"/>
      <c r="C179" s="3471"/>
      <c r="D179" s="3471"/>
      <c r="E179" s="3471"/>
      <c r="F179" s="3471"/>
      <c r="G179" s="3471"/>
      <c r="H179" s="3471"/>
      <c r="I179" s="3471"/>
      <c r="J179" s="3471"/>
      <c r="K179" s="3471"/>
      <c r="L179" s="3471"/>
      <c r="M179" s="3471"/>
      <c r="N179" s="3471"/>
      <c r="O179" s="3471"/>
      <c r="P179" s="3471"/>
      <c r="Q179" s="3471"/>
      <c r="R179" s="3471"/>
      <c r="S179" s="3471"/>
      <c r="T179" s="3471"/>
    </row>
    <row r="180" spans="1:20">
      <c r="A180" s="3471"/>
      <c r="B180" s="3471"/>
      <c r="C180" s="3471"/>
      <c r="D180" s="3471"/>
      <c r="E180" s="3471"/>
      <c r="F180" s="3471"/>
      <c r="G180" s="3471"/>
      <c r="H180" s="3471"/>
      <c r="I180" s="3471"/>
      <c r="J180" s="3471"/>
      <c r="K180" s="3471"/>
      <c r="L180" s="3471"/>
      <c r="M180" s="3471"/>
      <c r="N180" s="3471"/>
      <c r="O180" s="3471"/>
      <c r="P180" s="3471"/>
      <c r="Q180" s="3471"/>
      <c r="R180" s="3471"/>
      <c r="S180" s="3471"/>
      <c r="T180" s="3471"/>
    </row>
    <row r="181" spans="1:20">
      <c r="A181" s="3471"/>
      <c r="B181" s="3471"/>
      <c r="C181" s="3471"/>
      <c r="D181" s="3471"/>
      <c r="E181" s="3471"/>
      <c r="F181" s="3471"/>
      <c r="G181" s="3471"/>
      <c r="H181" s="3471"/>
      <c r="I181" s="3471"/>
      <c r="J181" s="3471"/>
      <c r="K181" s="3471"/>
      <c r="L181" s="3471"/>
      <c r="M181" s="3471"/>
      <c r="N181" s="3471"/>
      <c r="O181" s="3471"/>
      <c r="P181" s="3471"/>
      <c r="Q181" s="3471"/>
      <c r="R181" s="3471"/>
      <c r="S181" s="3471"/>
      <c r="T181" s="3471"/>
    </row>
    <row r="182" spans="1:20">
      <c r="A182" s="3471"/>
      <c r="B182" s="3471"/>
      <c r="C182" s="3471"/>
      <c r="D182" s="3471"/>
      <c r="E182" s="3471"/>
      <c r="F182" s="3471"/>
      <c r="G182" s="3471"/>
      <c r="H182" s="3471"/>
      <c r="I182" s="3471"/>
      <c r="J182" s="3471"/>
      <c r="K182" s="3471"/>
      <c r="L182" s="3471"/>
      <c r="M182" s="3471"/>
      <c r="N182" s="3471"/>
      <c r="O182" s="3471"/>
      <c r="P182" s="3471"/>
      <c r="Q182" s="3471"/>
      <c r="R182" s="3471"/>
      <c r="S182" s="3471"/>
      <c r="T182" s="3471"/>
    </row>
    <row r="183" spans="1:20">
      <c r="A183" s="3471"/>
      <c r="B183" s="3471"/>
      <c r="C183" s="3471"/>
      <c r="D183" s="3471"/>
      <c r="E183" s="3471"/>
      <c r="F183" s="3471"/>
      <c r="G183" s="3471"/>
      <c r="H183" s="3471"/>
      <c r="I183" s="3471"/>
      <c r="J183" s="3471"/>
      <c r="K183" s="3471"/>
      <c r="L183" s="3471"/>
      <c r="M183" s="3471"/>
      <c r="N183" s="3471"/>
      <c r="O183" s="3471"/>
      <c r="P183" s="3471"/>
      <c r="Q183" s="3471"/>
      <c r="R183" s="3471"/>
      <c r="S183" s="3471"/>
      <c r="T183" s="3471"/>
    </row>
    <row r="184" spans="1:20">
      <c r="A184" s="3471"/>
      <c r="B184" s="3471"/>
      <c r="C184" s="3471"/>
      <c r="D184" s="3471"/>
      <c r="E184" s="3471"/>
      <c r="F184" s="3471"/>
      <c r="G184" s="3471"/>
      <c r="H184" s="3471"/>
      <c r="I184" s="3471"/>
      <c r="J184" s="3471"/>
      <c r="K184" s="3471"/>
      <c r="L184" s="3471"/>
      <c r="M184" s="3471"/>
      <c r="N184" s="3471"/>
      <c r="O184" s="3471"/>
      <c r="P184" s="3471"/>
      <c r="Q184" s="3471"/>
      <c r="R184" s="3471"/>
      <c r="S184" s="3471"/>
      <c r="T184" s="3471"/>
    </row>
    <row r="185" spans="1:20">
      <c r="A185" s="3471"/>
      <c r="B185" s="3471"/>
      <c r="C185" s="3471"/>
      <c r="D185" s="3471"/>
      <c r="E185" s="3471"/>
      <c r="F185" s="3471"/>
      <c r="G185" s="3471"/>
      <c r="H185" s="3471"/>
      <c r="I185" s="3471"/>
      <c r="J185" s="3471"/>
      <c r="K185" s="3471"/>
      <c r="L185" s="3471"/>
      <c r="M185" s="3471"/>
      <c r="N185" s="3471"/>
      <c r="O185" s="3471"/>
      <c r="P185" s="3471"/>
      <c r="Q185" s="3471"/>
      <c r="R185" s="3471"/>
      <c r="S185" s="3471"/>
      <c r="T185" s="3471"/>
    </row>
    <row r="186" spans="1:20">
      <c r="A186" s="3471"/>
      <c r="B186" s="3471"/>
      <c r="C186" s="3471"/>
      <c r="D186" s="3471"/>
      <c r="E186" s="3471"/>
      <c r="F186" s="3471"/>
      <c r="G186" s="3471"/>
      <c r="H186" s="3471"/>
      <c r="I186" s="3471"/>
      <c r="J186" s="3471"/>
      <c r="K186" s="3471"/>
      <c r="L186" s="3471"/>
      <c r="M186" s="3471"/>
      <c r="N186" s="3471"/>
      <c r="O186" s="3471"/>
      <c r="P186" s="3471"/>
      <c r="Q186" s="3471"/>
      <c r="R186" s="3471"/>
      <c r="S186" s="3471"/>
      <c r="T186" s="3471"/>
    </row>
    <row r="187" spans="1:20">
      <c r="A187" s="3471"/>
      <c r="B187" s="3471"/>
      <c r="C187" s="3471"/>
      <c r="D187" s="3471"/>
      <c r="E187" s="3471"/>
      <c r="F187" s="3471"/>
      <c r="G187" s="3471"/>
      <c r="H187" s="3471"/>
      <c r="I187" s="3471"/>
      <c r="J187" s="3471"/>
      <c r="K187" s="3471"/>
      <c r="L187" s="3471"/>
      <c r="M187" s="3471"/>
      <c r="N187" s="3471"/>
      <c r="O187" s="3471"/>
      <c r="P187" s="3471"/>
      <c r="Q187" s="3471"/>
      <c r="R187" s="3471"/>
      <c r="S187" s="3471"/>
      <c r="T187" s="3471"/>
    </row>
    <row r="188" spans="1:20">
      <c r="A188" s="3471"/>
      <c r="B188" s="3471"/>
      <c r="C188" s="3471"/>
      <c r="D188" s="3471"/>
      <c r="E188" s="3471"/>
      <c r="F188" s="3471"/>
      <c r="G188" s="3471"/>
      <c r="H188" s="3471"/>
      <c r="I188" s="3471"/>
      <c r="J188" s="3471"/>
      <c r="K188" s="3471"/>
      <c r="L188" s="3471"/>
      <c r="M188" s="3471"/>
      <c r="N188" s="3471"/>
      <c r="O188" s="3471"/>
      <c r="P188" s="3471"/>
      <c r="Q188" s="3471"/>
      <c r="R188" s="3471"/>
      <c r="S188" s="3471"/>
      <c r="T188" s="3471"/>
    </row>
    <row r="189" spans="1:20">
      <c r="A189" s="3471"/>
      <c r="B189" s="3471"/>
      <c r="C189" s="3471"/>
      <c r="D189" s="3471"/>
      <c r="E189" s="3471"/>
      <c r="F189" s="3471"/>
      <c r="G189" s="3471"/>
      <c r="H189" s="3471"/>
      <c r="I189" s="3471"/>
      <c r="J189" s="3471"/>
      <c r="K189" s="3471"/>
      <c r="L189" s="3471"/>
      <c r="M189" s="3471"/>
      <c r="N189" s="3471"/>
      <c r="O189" s="3471"/>
      <c r="P189" s="3471"/>
      <c r="Q189" s="3471"/>
      <c r="R189" s="3471"/>
      <c r="S189" s="3471"/>
      <c r="T189" s="3471"/>
    </row>
    <row r="190" spans="1:20">
      <c r="A190" s="3471"/>
      <c r="B190" s="3471"/>
      <c r="C190" s="3471"/>
      <c r="D190" s="3471"/>
      <c r="E190" s="3471"/>
      <c r="F190" s="3471"/>
      <c r="G190" s="3471"/>
      <c r="H190" s="3471"/>
      <c r="I190" s="3471"/>
      <c r="J190" s="3471"/>
      <c r="K190" s="3471"/>
      <c r="L190" s="3471"/>
      <c r="M190" s="3471"/>
      <c r="N190" s="3471"/>
      <c r="O190" s="3471"/>
      <c r="P190" s="3471"/>
      <c r="Q190" s="3471"/>
      <c r="R190" s="3471"/>
      <c r="S190" s="3471"/>
      <c r="T190" s="3471"/>
    </row>
    <row r="191" spans="1:20">
      <c r="A191" s="3471"/>
      <c r="B191" s="3471"/>
      <c r="C191" s="3471"/>
      <c r="D191" s="3471"/>
      <c r="E191" s="3471"/>
      <c r="F191" s="3471"/>
      <c r="G191" s="3471"/>
      <c r="H191" s="3471"/>
      <c r="I191" s="3471"/>
      <c r="J191" s="3471"/>
      <c r="K191" s="3471"/>
      <c r="L191" s="3471"/>
      <c r="M191" s="3471"/>
      <c r="N191" s="3471"/>
      <c r="O191" s="3471"/>
      <c r="P191" s="3471"/>
      <c r="Q191" s="3471"/>
      <c r="R191" s="3471"/>
      <c r="S191" s="3471"/>
      <c r="T191" s="3471"/>
    </row>
    <row r="192" spans="1:20">
      <c r="A192" s="3471"/>
      <c r="B192" s="3471"/>
      <c r="C192" s="3471"/>
      <c r="D192" s="3471"/>
      <c r="E192" s="3471"/>
      <c r="F192" s="3471"/>
      <c r="G192" s="3471"/>
      <c r="H192" s="3471"/>
      <c r="I192" s="3471"/>
      <c r="J192" s="3471"/>
      <c r="K192" s="3471"/>
      <c r="L192" s="3471"/>
      <c r="M192" s="3471"/>
      <c r="N192" s="3471"/>
      <c r="O192" s="3471"/>
      <c r="P192" s="3471"/>
      <c r="Q192" s="3471"/>
      <c r="R192" s="3471"/>
      <c r="S192" s="3471"/>
      <c r="T192" s="3471"/>
    </row>
    <row r="193" spans="1:20">
      <c r="A193" s="3471"/>
      <c r="B193" s="3471"/>
      <c r="C193" s="3471"/>
      <c r="D193" s="3471"/>
      <c r="E193" s="3471"/>
      <c r="F193" s="3471"/>
      <c r="G193" s="3471"/>
      <c r="H193" s="3471"/>
      <c r="I193" s="3471"/>
      <c r="J193" s="3471"/>
      <c r="K193" s="3471"/>
      <c r="L193" s="3471"/>
      <c r="M193" s="3471"/>
      <c r="N193" s="3471"/>
      <c r="O193" s="3471"/>
      <c r="P193" s="3471"/>
      <c r="Q193" s="3471"/>
      <c r="R193" s="3471"/>
      <c r="S193" s="3471"/>
      <c r="T193" s="3471"/>
    </row>
    <row r="194" spans="1:20">
      <c r="A194" s="3471"/>
      <c r="B194" s="3471"/>
      <c r="C194" s="3471"/>
      <c r="D194" s="3471"/>
      <c r="E194" s="3471"/>
      <c r="F194" s="3471"/>
      <c r="G194" s="3471"/>
      <c r="H194" s="3471"/>
      <c r="I194" s="3471"/>
      <c r="J194" s="3471"/>
      <c r="K194" s="3471"/>
      <c r="L194" s="3471"/>
      <c r="M194" s="3471"/>
      <c r="N194" s="3471"/>
      <c r="O194" s="3471"/>
      <c r="P194" s="3471"/>
      <c r="Q194" s="3471"/>
      <c r="R194" s="3471"/>
      <c r="S194" s="3471"/>
      <c r="T194" s="3471"/>
    </row>
    <row r="195" spans="1:20">
      <c r="A195" s="3471"/>
      <c r="B195" s="3471"/>
      <c r="C195" s="3471"/>
      <c r="D195" s="3471"/>
      <c r="E195" s="3471"/>
      <c r="F195" s="3471"/>
      <c r="G195" s="3471"/>
      <c r="H195" s="3471"/>
      <c r="I195" s="3471"/>
      <c r="J195" s="3471"/>
      <c r="K195" s="3471"/>
      <c r="L195" s="3471"/>
      <c r="M195" s="3471"/>
      <c r="N195" s="3471"/>
      <c r="O195" s="3471"/>
      <c r="P195" s="3471"/>
      <c r="Q195" s="3471"/>
      <c r="R195" s="3471"/>
      <c r="S195" s="3471"/>
      <c r="T195" s="3471"/>
    </row>
    <row r="196" spans="1:20">
      <c r="A196" s="3471"/>
      <c r="B196" s="3471"/>
      <c r="C196" s="3471"/>
      <c r="D196" s="3471"/>
      <c r="E196" s="3471"/>
      <c r="F196" s="3471"/>
      <c r="G196" s="3471"/>
      <c r="H196" s="3471"/>
      <c r="I196" s="3471"/>
      <c r="J196" s="3471"/>
      <c r="K196" s="3471"/>
      <c r="L196" s="3471"/>
      <c r="M196" s="3471"/>
      <c r="N196" s="3471"/>
      <c r="O196" s="3471"/>
      <c r="P196" s="3471"/>
      <c r="Q196" s="3471"/>
      <c r="R196" s="3471"/>
      <c r="S196" s="3471"/>
      <c r="T196" s="3471"/>
    </row>
    <row r="197" spans="1:20">
      <c r="A197" s="3471"/>
      <c r="B197" s="3471"/>
      <c r="C197" s="3471"/>
      <c r="D197" s="3471"/>
      <c r="E197" s="3471"/>
      <c r="F197" s="3471"/>
      <c r="G197" s="3471"/>
      <c r="H197" s="3471"/>
      <c r="I197" s="3471"/>
      <c r="J197" s="3471"/>
      <c r="K197" s="3471"/>
      <c r="L197" s="3471"/>
      <c r="M197" s="3471"/>
      <c r="N197" s="3471"/>
      <c r="O197" s="3471"/>
      <c r="P197" s="3471"/>
      <c r="Q197" s="3471"/>
      <c r="R197" s="3471"/>
      <c r="S197" s="3471"/>
      <c r="T197" s="3471"/>
    </row>
    <row r="198" spans="1:20">
      <c r="A198" s="3471"/>
      <c r="B198" s="3471"/>
      <c r="C198" s="3471"/>
      <c r="D198" s="3471"/>
      <c r="E198" s="3471"/>
      <c r="F198" s="3471"/>
      <c r="G198" s="3471"/>
      <c r="H198" s="3471"/>
      <c r="I198" s="3471"/>
      <c r="J198" s="3471"/>
      <c r="K198" s="3471"/>
      <c r="L198" s="3471"/>
      <c r="M198" s="3471"/>
      <c r="N198" s="3471"/>
      <c r="O198" s="3471"/>
      <c r="P198" s="3471"/>
      <c r="Q198" s="3471"/>
      <c r="R198" s="3471"/>
      <c r="S198" s="3471"/>
      <c r="T198" s="3471"/>
    </row>
    <row r="199" spans="1:20">
      <c r="A199" s="3471"/>
      <c r="B199" s="3471"/>
      <c r="C199" s="3471"/>
      <c r="D199" s="3471"/>
      <c r="E199" s="3471"/>
      <c r="F199" s="3471"/>
      <c r="G199" s="3471"/>
      <c r="H199" s="3471"/>
      <c r="I199" s="3471"/>
      <c r="J199" s="3471"/>
      <c r="K199" s="3471"/>
      <c r="L199" s="3471"/>
      <c r="M199" s="3471"/>
      <c r="N199" s="3471"/>
      <c r="O199" s="3471"/>
      <c r="P199" s="3471"/>
      <c r="Q199" s="3471"/>
      <c r="R199" s="3471"/>
      <c r="S199" s="3471"/>
      <c r="T199" s="3471"/>
    </row>
    <row r="200" spans="1:20">
      <c r="A200" s="3471"/>
      <c r="B200" s="3471"/>
      <c r="C200" s="3471"/>
      <c r="D200" s="3471"/>
      <c r="E200" s="3471"/>
      <c r="F200" s="3471"/>
      <c r="G200" s="3471"/>
      <c r="H200" s="3471"/>
      <c r="I200" s="3471"/>
      <c r="J200" s="3471"/>
      <c r="K200" s="3471"/>
      <c r="L200" s="3471"/>
      <c r="M200" s="3471"/>
      <c r="N200" s="3471"/>
      <c r="O200" s="3471"/>
      <c r="P200" s="3471"/>
      <c r="Q200" s="3471"/>
      <c r="R200" s="3471"/>
      <c r="S200" s="3471"/>
      <c r="T200" s="3471"/>
    </row>
    <row r="201" spans="1:20">
      <c r="A201" s="3471"/>
      <c r="B201" s="3471"/>
      <c r="C201" s="3471"/>
      <c r="D201" s="3471"/>
      <c r="E201" s="3471"/>
      <c r="F201" s="3471"/>
      <c r="G201" s="3471"/>
      <c r="H201" s="3471"/>
      <c r="I201" s="3471"/>
      <c r="J201" s="3471"/>
      <c r="K201" s="3471"/>
      <c r="L201" s="3471"/>
      <c r="M201" s="3471"/>
      <c r="N201" s="3471"/>
      <c r="O201" s="3471"/>
      <c r="P201" s="3471"/>
      <c r="Q201" s="3471"/>
      <c r="R201" s="3471"/>
      <c r="S201" s="3471"/>
      <c r="T201" s="3471"/>
    </row>
    <row r="202" spans="1:20">
      <c r="A202" s="3471"/>
      <c r="B202" s="3471"/>
      <c r="C202" s="3471"/>
      <c r="D202" s="3471"/>
      <c r="E202" s="3471"/>
      <c r="F202" s="3471"/>
      <c r="G202" s="3471"/>
      <c r="H202" s="3471"/>
      <c r="I202" s="3471"/>
      <c r="J202" s="3471"/>
      <c r="K202" s="3471"/>
      <c r="L202" s="3471"/>
      <c r="M202" s="3471"/>
      <c r="N202" s="3471"/>
      <c r="O202" s="3471"/>
      <c r="P202" s="3471"/>
      <c r="Q202" s="3471"/>
      <c r="R202" s="3471"/>
      <c r="S202" s="3471"/>
      <c r="T202" s="3471"/>
    </row>
    <row r="203" spans="1:20">
      <c r="A203" s="3471"/>
      <c r="B203" s="3471"/>
      <c r="C203" s="3471"/>
      <c r="D203" s="3471"/>
      <c r="E203" s="3471"/>
      <c r="F203" s="3471"/>
      <c r="G203" s="3471"/>
      <c r="H203" s="3471"/>
      <c r="I203" s="3471"/>
      <c r="J203" s="3471"/>
      <c r="K203" s="3471"/>
      <c r="L203" s="3471"/>
      <c r="M203" s="3471"/>
      <c r="N203" s="3471"/>
      <c r="O203" s="3471"/>
      <c r="P203" s="3471"/>
      <c r="Q203" s="3471"/>
      <c r="R203" s="3471"/>
      <c r="S203" s="3471"/>
      <c r="T203" s="3471"/>
    </row>
    <row r="204" spans="1:20">
      <c r="A204" s="3471"/>
      <c r="B204" s="3471"/>
      <c r="C204" s="3471"/>
      <c r="D204" s="3471"/>
      <c r="E204" s="3471"/>
      <c r="F204" s="3471"/>
      <c r="G204" s="3471"/>
      <c r="H204" s="3471"/>
      <c r="I204" s="3471"/>
      <c r="J204" s="3471"/>
      <c r="K204" s="3471"/>
      <c r="L204" s="3471"/>
      <c r="M204" s="3471"/>
      <c r="N204" s="3471"/>
      <c r="O204" s="3471"/>
      <c r="P204" s="3471"/>
      <c r="Q204" s="3471"/>
      <c r="R204" s="3471"/>
      <c r="S204" s="3471"/>
      <c r="T204" s="3471"/>
    </row>
    <row r="205" spans="1:20">
      <c r="A205" s="3471"/>
      <c r="B205" s="3471"/>
      <c r="C205" s="3471"/>
      <c r="D205" s="3471"/>
      <c r="E205" s="3471"/>
      <c r="F205" s="3471"/>
      <c r="G205" s="3471"/>
      <c r="H205" s="3471"/>
      <c r="I205" s="3471"/>
      <c r="J205" s="3471"/>
      <c r="K205" s="3471"/>
      <c r="L205" s="3471"/>
      <c r="M205" s="3471"/>
      <c r="N205" s="3471"/>
      <c r="O205" s="3471"/>
      <c r="P205" s="3471"/>
      <c r="Q205" s="3471"/>
      <c r="R205" s="3471"/>
      <c r="S205" s="3471"/>
      <c r="T205" s="3471"/>
    </row>
    <row r="206" spans="1:20">
      <c r="A206" s="3471"/>
      <c r="B206" s="3471"/>
      <c r="C206" s="3471"/>
      <c r="D206" s="3471"/>
      <c r="E206" s="3471"/>
      <c r="F206" s="3471"/>
      <c r="G206" s="3471"/>
      <c r="H206" s="3471"/>
      <c r="I206" s="3471"/>
      <c r="J206" s="3471"/>
      <c r="K206" s="3471"/>
      <c r="L206" s="3471"/>
      <c r="M206" s="3471"/>
      <c r="N206" s="3471"/>
      <c r="O206" s="3471"/>
      <c r="P206" s="3471"/>
      <c r="Q206" s="3471"/>
      <c r="R206" s="3471"/>
      <c r="S206" s="3471"/>
      <c r="T206" s="3471"/>
    </row>
    <row r="207" spans="1:20">
      <c r="A207" s="3471"/>
      <c r="B207" s="3471"/>
      <c r="C207" s="3471"/>
      <c r="D207" s="3471"/>
      <c r="E207" s="3471"/>
      <c r="F207" s="3471"/>
      <c r="G207" s="3471"/>
      <c r="H207" s="3471"/>
      <c r="I207" s="3471"/>
      <c r="J207" s="3471"/>
      <c r="K207" s="3471"/>
      <c r="L207" s="3471"/>
      <c r="M207" s="3471"/>
      <c r="N207" s="3471"/>
      <c r="O207" s="3471"/>
      <c r="P207" s="3471"/>
      <c r="Q207" s="3471"/>
      <c r="R207" s="3471"/>
      <c r="S207" s="3471"/>
      <c r="T207" s="3471"/>
    </row>
    <row r="208" spans="1:20">
      <c r="A208" s="3471"/>
      <c r="B208" s="3471"/>
      <c r="C208" s="3471"/>
      <c r="D208" s="3471"/>
      <c r="E208" s="3471"/>
      <c r="F208" s="3471"/>
      <c r="G208" s="3471"/>
      <c r="H208" s="3471"/>
      <c r="I208" s="3471"/>
      <c r="J208" s="3471"/>
      <c r="K208" s="3471"/>
      <c r="L208" s="3471"/>
      <c r="M208" s="3471"/>
      <c r="N208" s="3471"/>
      <c r="O208" s="3471"/>
      <c r="P208" s="3471"/>
      <c r="Q208" s="3471"/>
      <c r="R208" s="3471"/>
      <c r="S208" s="3471"/>
      <c r="T208" s="3471"/>
    </row>
    <row r="209" spans="1:20">
      <c r="A209" s="3471"/>
      <c r="B209" s="3471"/>
      <c r="C209" s="3471"/>
      <c r="D209" s="3471"/>
      <c r="E209" s="3471"/>
      <c r="F209" s="3471"/>
      <c r="G209" s="3471"/>
      <c r="H209" s="3471"/>
      <c r="I209" s="3471"/>
      <c r="J209" s="3471"/>
      <c r="K209" s="3471"/>
      <c r="L209" s="3471"/>
      <c r="M209" s="3471"/>
      <c r="N209" s="3471"/>
      <c r="O209" s="3471"/>
      <c r="P209" s="3471"/>
      <c r="Q209" s="3471"/>
      <c r="R209" s="3471"/>
      <c r="S209" s="3471"/>
      <c r="T209" s="3471"/>
    </row>
    <row r="210" spans="1:20">
      <c r="A210" s="3471"/>
      <c r="B210" s="3471"/>
      <c r="C210" s="3471"/>
      <c r="D210" s="3471"/>
      <c r="E210" s="3471"/>
      <c r="F210" s="3471"/>
      <c r="G210" s="3471"/>
      <c r="H210" s="3471"/>
      <c r="I210" s="3471"/>
      <c r="J210" s="3471"/>
      <c r="K210" s="3471"/>
      <c r="L210" s="3471"/>
      <c r="M210" s="3471"/>
      <c r="N210" s="3471"/>
      <c r="O210" s="3471"/>
      <c r="P210" s="3471"/>
      <c r="Q210" s="3471"/>
      <c r="R210" s="3471"/>
      <c r="S210" s="3471"/>
      <c r="T210" s="3471"/>
    </row>
    <row r="211" spans="1:20">
      <c r="A211" s="3471"/>
      <c r="B211" s="3471"/>
      <c r="C211" s="3471"/>
      <c r="D211" s="3471"/>
      <c r="E211" s="3471"/>
      <c r="F211" s="3471"/>
      <c r="G211" s="3471"/>
      <c r="H211" s="3471"/>
      <c r="I211" s="3471"/>
      <c r="J211" s="3471"/>
      <c r="K211" s="3471"/>
      <c r="L211" s="3471"/>
      <c r="M211" s="3471"/>
      <c r="N211" s="3471"/>
      <c r="O211" s="3471"/>
      <c r="P211" s="3471"/>
      <c r="Q211" s="3471"/>
      <c r="R211" s="3471"/>
      <c r="S211" s="3471"/>
      <c r="T211" s="3471"/>
    </row>
    <row r="212" spans="1:20">
      <c r="A212" s="3471"/>
      <c r="B212" s="3471"/>
      <c r="C212" s="3471"/>
      <c r="D212" s="3471"/>
      <c r="E212" s="3471"/>
      <c r="F212" s="3471"/>
      <c r="G212" s="3471"/>
      <c r="H212" s="3471"/>
      <c r="I212" s="3471"/>
      <c r="J212" s="3471"/>
      <c r="K212" s="3471"/>
      <c r="L212" s="3471"/>
      <c r="M212" s="3471"/>
      <c r="N212" s="3471"/>
      <c r="O212" s="3471"/>
      <c r="P212" s="3471"/>
      <c r="Q212" s="3471"/>
      <c r="R212" s="3471"/>
      <c r="S212" s="3471"/>
      <c r="T212" s="3471"/>
    </row>
    <row r="213" spans="1:20">
      <c r="A213" s="3471"/>
      <c r="B213" s="3471"/>
      <c r="C213" s="3471"/>
      <c r="D213" s="3471"/>
      <c r="E213" s="3471"/>
      <c r="F213" s="3471"/>
      <c r="G213" s="3471"/>
      <c r="H213" s="3471"/>
      <c r="I213" s="3471"/>
      <c r="J213" s="3471"/>
      <c r="K213" s="3471"/>
      <c r="L213" s="3471"/>
      <c r="M213" s="3471"/>
      <c r="N213" s="3471"/>
      <c r="O213" s="3471"/>
      <c r="P213" s="3471"/>
      <c r="Q213" s="3471"/>
      <c r="R213" s="3471"/>
      <c r="S213" s="3471"/>
      <c r="T213" s="3471"/>
    </row>
    <row r="214" spans="1:20">
      <c r="A214" s="3471"/>
      <c r="B214" s="3471"/>
      <c r="C214" s="3471"/>
      <c r="D214" s="3471"/>
      <c r="E214" s="3471"/>
      <c r="F214" s="3471"/>
      <c r="G214" s="3471"/>
      <c r="H214" s="3471"/>
      <c r="I214" s="3471"/>
      <c r="J214" s="3471"/>
      <c r="K214" s="3471"/>
      <c r="L214" s="3471"/>
      <c r="M214" s="3471"/>
      <c r="N214" s="3471"/>
      <c r="O214" s="3471"/>
      <c r="P214" s="3471"/>
      <c r="Q214" s="3471"/>
      <c r="R214" s="3471"/>
      <c r="S214" s="3471"/>
      <c r="T214" s="3471"/>
    </row>
    <row r="215" spans="1:20">
      <c r="A215" s="3471"/>
      <c r="B215" s="3471"/>
      <c r="C215" s="3471"/>
      <c r="D215" s="3471"/>
      <c r="E215" s="3471"/>
      <c r="F215" s="3471"/>
      <c r="G215" s="3471"/>
      <c r="H215" s="3471"/>
      <c r="I215" s="3471"/>
      <c r="J215" s="3471"/>
      <c r="K215" s="3471"/>
      <c r="L215" s="3471"/>
      <c r="M215" s="3471"/>
      <c r="N215" s="3471"/>
      <c r="O215" s="3471"/>
      <c r="P215" s="3471"/>
      <c r="Q215" s="3471"/>
      <c r="R215" s="3471"/>
      <c r="S215" s="3471"/>
      <c r="T215" s="3471"/>
    </row>
    <row r="216" spans="1:20">
      <c r="A216" s="3471"/>
      <c r="B216" s="3471"/>
      <c r="C216" s="3471"/>
      <c r="D216" s="3471"/>
      <c r="E216" s="3471"/>
      <c r="F216" s="3471"/>
      <c r="G216" s="3471"/>
      <c r="H216" s="3471"/>
      <c r="I216" s="3471"/>
      <c r="J216" s="3471"/>
      <c r="K216" s="3471"/>
      <c r="L216" s="3471"/>
      <c r="M216" s="3471"/>
      <c r="N216" s="3471"/>
      <c r="O216" s="3471"/>
      <c r="P216" s="3471"/>
      <c r="Q216" s="3471"/>
      <c r="R216" s="3471"/>
      <c r="S216" s="3471"/>
      <c r="T216" s="3471"/>
    </row>
    <row r="217" spans="1:20">
      <c r="A217" s="3471"/>
      <c r="B217" s="3471"/>
      <c r="C217" s="3471"/>
      <c r="D217" s="3471"/>
      <c r="E217" s="3471"/>
      <c r="F217" s="3471"/>
      <c r="G217" s="3471"/>
      <c r="H217" s="3471"/>
      <c r="I217" s="3471"/>
      <c r="J217" s="3471"/>
      <c r="K217" s="3471"/>
      <c r="L217" s="3471"/>
      <c r="M217" s="3471"/>
      <c r="N217" s="3471"/>
      <c r="O217" s="3471"/>
      <c r="P217" s="3471"/>
      <c r="Q217" s="3471"/>
      <c r="R217" s="3471"/>
      <c r="S217" s="3471"/>
      <c r="T217" s="3471"/>
    </row>
    <row r="218" spans="1:20">
      <c r="A218" s="3471"/>
      <c r="B218" s="3471"/>
      <c r="C218" s="3471"/>
      <c r="D218" s="3471"/>
      <c r="E218" s="3471"/>
      <c r="F218" s="3471"/>
      <c r="G218" s="3471"/>
      <c r="H218" s="3471"/>
      <c r="I218" s="3471"/>
      <c r="J218" s="3471"/>
      <c r="K218" s="3471"/>
      <c r="L218" s="3471"/>
      <c r="M218" s="3471"/>
      <c r="N218" s="3471"/>
      <c r="O218" s="3471"/>
      <c r="P218" s="3471"/>
      <c r="Q218" s="3471"/>
      <c r="R218" s="3471"/>
      <c r="S218" s="3471"/>
      <c r="T218" s="3471"/>
    </row>
    <row r="219" spans="1:20">
      <c r="A219" s="3471"/>
      <c r="B219" s="3471"/>
      <c r="C219" s="3471"/>
      <c r="D219" s="3471"/>
      <c r="E219" s="3471"/>
      <c r="F219" s="3471"/>
      <c r="G219" s="3471"/>
      <c r="H219" s="3471"/>
      <c r="I219" s="3471"/>
      <c r="J219" s="3471"/>
      <c r="K219" s="3471"/>
      <c r="L219" s="3471"/>
      <c r="M219" s="3471"/>
      <c r="N219" s="3471"/>
      <c r="O219" s="3471"/>
      <c r="P219" s="3471"/>
      <c r="Q219" s="3471"/>
      <c r="R219" s="3471"/>
      <c r="S219" s="3471"/>
      <c r="T219" s="3471"/>
    </row>
    <row r="220" spans="1:20">
      <c r="A220" s="3471"/>
      <c r="B220" s="3471"/>
      <c r="C220" s="3471"/>
      <c r="D220" s="3471"/>
      <c r="E220" s="3471"/>
      <c r="F220" s="3471"/>
      <c r="G220" s="3471"/>
      <c r="H220" s="3471"/>
      <c r="I220" s="3471"/>
      <c r="J220" s="3471"/>
      <c r="K220" s="3471"/>
      <c r="L220" s="3471"/>
      <c r="M220" s="3471"/>
      <c r="N220" s="3471"/>
      <c r="O220" s="3471"/>
      <c r="P220" s="3471"/>
      <c r="Q220" s="3471"/>
      <c r="R220" s="3471"/>
      <c r="S220" s="3471"/>
      <c r="T220" s="3471"/>
    </row>
    <row r="221" spans="1:20">
      <c r="A221" s="3471"/>
      <c r="B221" s="3471"/>
      <c r="C221" s="3471"/>
      <c r="D221" s="3471"/>
      <c r="E221" s="3471"/>
      <c r="F221" s="3471"/>
      <c r="G221" s="3471"/>
      <c r="H221" s="3471"/>
      <c r="I221" s="3471"/>
      <c r="J221" s="3471"/>
      <c r="K221" s="3471"/>
      <c r="L221" s="3471"/>
      <c r="M221" s="3471"/>
      <c r="N221" s="3471"/>
      <c r="O221" s="3471"/>
      <c r="P221" s="3471"/>
      <c r="Q221" s="3471"/>
      <c r="R221" s="3471"/>
      <c r="S221" s="3471"/>
      <c r="T221" s="3471"/>
    </row>
    <row r="222" spans="1:20">
      <c r="A222" s="3471"/>
      <c r="B222" s="3471"/>
      <c r="C222" s="3471"/>
      <c r="D222" s="3471"/>
      <c r="E222" s="3471"/>
      <c r="F222" s="3471"/>
      <c r="G222" s="3471"/>
      <c r="H222" s="3471"/>
      <c r="I222" s="3471"/>
      <c r="J222" s="3471"/>
      <c r="K222" s="3471"/>
      <c r="L222" s="3471"/>
      <c r="M222" s="3471"/>
      <c r="N222" s="3471"/>
      <c r="O222" s="3471"/>
      <c r="P222" s="3471"/>
      <c r="Q222" s="3471"/>
      <c r="R222" s="3471"/>
      <c r="S222" s="3471"/>
      <c r="T222" s="3471"/>
    </row>
    <row r="223" spans="1:20">
      <c r="A223" s="3471"/>
      <c r="B223" s="3471"/>
      <c r="C223" s="3471"/>
      <c r="D223" s="3471"/>
      <c r="E223" s="3471"/>
      <c r="F223" s="3471"/>
      <c r="G223" s="3471"/>
      <c r="H223" s="3471"/>
      <c r="I223" s="3471"/>
      <c r="J223" s="3471"/>
      <c r="K223" s="3471"/>
      <c r="L223" s="3471"/>
      <c r="M223" s="3471"/>
      <c r="N223" s="3471"/>
      <c r="O223" s="3471"/>
      <c r="P223" s="3471"/>
      <c r="Q223" s="3471"/>
      <c r="R223" s="3471"/>
      <c r="S223" s="3471"/>
      <c r="T223" s="3471"/>
    </row>
    <row r="224" spans="1:20">
      <c r="A224" s="3471"/>
      <c r="B224" s="3471"/>
      <c r="C224" s="3471"/>
      <c r="D224" s="3471"/>
      <c r="E224" s="3471"/>
      <c r="F224" s="3471"/>
      <c r="G224" s="3471"/>
      <c r="H224" s="3471"/>
      <c r="I224" s="3471"/>
      <c r="J224" s="3471"/>
      <c r="K224" s="3471"/>
      <c r="L224" s="3471"/>
      <c r="M224" s="3471"/>
      <c r="N224" s="3471"/>
      <c r="O224" s="3471"/>
      <c r="P224" s="3471"/>
      <c r="Q224" s="3471"/>
      <c r="R224" s="3471"/>
      <c r="S224" s="3471"/>
      <c r="T224" s="3471"/>
    </row>
    <row r="225" spans="1:20">
      <c r="A225" s="3471"/>
      <c r="B225" s="3471"/>
      <c r="C225" s="3471"/>
      <c r="D225" s="3471"/>
      <c r="E225" s="3471"/>
      <c r="F225" s="3471"/>
      <c r="G225" s="3471"/>
      <c r="H225" s="3471"/>
      <c r="I225" s="3471"/>
      <c r="J225" s="3471"/>
      <c r="K225" s="3471"/>
      <c r="L225" s="3471"/>
      <c r="M225" s="3471"/>
      <c r="N225" s="3471"/>
      <c r="O225" s="3471"/>
      <c r="P225" s="3471"/>
      <c r="Q225" s="3471"/>
      <c r="R225" s="3471"/>
      <c r="S225" s="3471"/>
      <c r="T225" s="3471"/>
    </row>
    <row r="226" spans="1:20">
      <c r="A226" s="3471"/>
      <c r="B226" s="3471"/>
      <c r="C226" s="3471"/>
      <c r="D226" s="3471"/>
      <c r="E226" s="3471"/>
      <c r="F226" s="3471"/>
      <c r="G226" s="3471"/>
      <c r="H226" s="3471"/>
      <c r="I226" s="3471"/>
      <c r="J226" s="3471"/>
      <c r="K226" s="3471"/>
      <c r="L226" s="3471"/>
      <c r="M226" s="3471"/>
      <c r="N226" s="3471"/>
      <c r="O226" s="3471"/>
      <c r="P226" s="3471"/>
      <c r="Q226" s="3471"/>
      <c r="R226" s="3471"/>
      <c r="S226" s="3471"/>
      <c r="T226" s="3471"/>
    </row>
    <row r="227" spans="1:20">
      <c r="A227" s="3471"/>
      <c r="B227" s="3471"/>
      <c r="C227" s="3471"/>
      <c r="D227" s="3471"/>
      <c r="E227" s="3471"/>
      <c r="F227" s="3471"/>
      <c r="G227" s="3471"/>
      <c r="H227" s="3471"/>
      <c r="I227" s="3471"/>
      <c r="J227" s="3471"/>
      <c r="K227" s="3471"/>
      <c r="L227" s="3471"/>
      <c r="M227" s="3471"/>
      <c r="N227" s="3471"/>
      <c r="O227" s="3471"/>
      <c r="P227" s="3471"/>
      <c r="Q227" s="3471"/>
      <c r="R227" s="3471"/>
      <c r="S227" s="3471"/>
      <c r="T227" s="3471"/>
    </row>
    <row r="228" spans="1:20">
      <c r="A228" s="3471"/>
      <c r="B228" s="3471"/>
      <c r="C228" s="3471"/>
      <c r="D228" s="3471"/>
      <c r="E228" s="3471"/>
      <c r="F228" s="3471"/>
      <c r="G228" s="3471"/>
      <c r="H228" s="3471"/>
      <c r="I228" s="3471"/>
      <c r="J228" s="3471"/>
      <c r="K228" s="3471"/>
      <c r="L228" s="3471"/>
      <c r="M228" s="3471"/>
      <c r="N228" s="3471"/>
      <c r="O228" s="3471"/>
      <c r="P228" s="3471"/>
      <c r="Q228" s="3471"/>
      <c r="R228" s="3471"/>
      <c r="S228" s="3471"/>
      <c r="T228" s="3471"/>
    </row>
    <row r="229" spans="1:20">
      <c r="A229" s="3471"/>
      <c r="B229" s="3471"/>
      <c r="C229" s="3471"/>
      <c r="D229" s="3471"/>
      <c r="E229" s="3471"/>
      <c r="F229" s="3471"/>
      <c r="G229" s="3471"/>
      <c r="H229" s="3471"/>
      <c r="I229" s="3471"/>
      <c r="J229" s="3471"/>
      <c r="K229" s="3471"/>
      <c r="L229" s="3471"/>
      <c r="M229" s="3471"/>
      <c r="N229" s="3471"/>
      <c r="O229" s="3471"/>
      <c r="P229" s="3471"/>
      <c r="Q229" s="3471"/>
      <c r="R229" s="3471"/>
      <c r="S229" s="3471"/>
      <c r="T229" s="3471"/>
    </row>
    <row r="230" spans="1:20">
      <c r="A230" s="3471"/>
      <c r="B230" s="3471"/>
      <c r="C230" s="3471"/>
      <c r="D230" s="3471"/>
      <c r="E230" s="3471"/>
      <c r="F230" s="3471"/>
      <c r="G230" s="3471"/>
      <c r="H230" s="3471"/>
      <c r="I230" s="3471"/>
      <c r="J230" s="3471"/>
      <c r="K230" s="3471"/>
      <c r="L230" s="3471"/>
      <c r="M230" s="3471"/>
      <c r="N230" s="3471"/>
      <c r="O230" s="3471"/>
      <c r="P230" s="3471"/>
      <c r="Q230" s="3471"/>
      <c r="R230" s="3471"/>
      <c r="S230" s="3471"/>
      <c r="T230" s="3471"/>
    </row>
    <row r="231" spans="1:20">
      <c r="A231" s="3471"/>
      <c r="B231" s="3471"/>
      <c r="C231" s="3471"/>
      <c r="D231" s="3471"/>
      <c r="E231" s="3471"/>
      <c r="F231" s="3471"/>
      <c r="G231" s="3471"/>
      <c r="H231" s="3471"/>
      <c r="I231" s="3471"/>
      <c r="J231" s="3471"/>
      <c r="K231" s="3471"/>
      <c r="L231" s="3471"/>
      <c r="M231" s="3471"/>
      <c r="N231" s="3471"/>
      <c r="O231" s="3471"/>
      <c r="P231" s="3471"/>
      <c r="Q231" s="3471"/>
      <c r="R231" s="3471"/>
      <c r="S231" s="3471"/>
      <c r="T231" s="3471"/>
    </row>
    <row r="232" spans="1:20">
      <c r="A232" s="3471"/>
      <c r="B232" s="3471"/>
      <c r="C232" s="3471"/>
      <c r="D232" s="3471"/>
      <c r="E232" s="3471"/>
      <c r="F232" s="3471"/>
      <c r="G232" s="3471"/>
      <c r="H232" s="3471"/>
      <c r="I232" s="3471"/>
      <c r="J232" s="3471"/>
      <c r="K232" s="3471"/>
      <c r="L232" s="3471"/>
      <c r="M232" s="3471"/>
      <c r="N232" s="3471"/>
      <c r="O232" s="3471"/>
      <c r="P232" s="3471"/>
      <c r="Q232" s="3471"/>
      <c r="R232" s="3471"/>
      <c r="S232" s="3471"/>
      <c r="T232" s="3471"/>
    </row>
    <row r="233" spans="1:20">
      <c r="A233" s="3471"/>
      <c r="B233" s="3471"/>
      <c r="C233" s="3471"/>
      <c r="D233" s="3471"/>
      <c r="E233" s="3471"/>
      <c r="F233" s="3471"/>
      <c r="G233" s="3471"/>
      <c r="H233" s="3471"/>
      <c r="I233" s="3471"/>
      <c r="J233" s="3471"/>
      <c r="K233" s="3471"/>
      <c r="L233" s="3471"/>
      <c r="M233" s="3471"/>
      <c r="N233" s="3471"/>
      <c r="O233" s="3471"/>
      <c r="P233" s="3471"/>
      <c r="Q233" s="3471"/>
      <c r="R233" s="3471"/>
      <c r="S233" s="3471"/>
      <c r="T233" s="3471"/>
    </row>
    <row r="234" spans="1:20">
      <c r="A234" s="3471"/>
      <c r="B234" s="3471"/>
      <c r="C234" s="3471"/>
      <c r="D234" s="3471"/>
      <c r="E234" s="3471"/>
      <c r="F234" s="3471"/>
      <c r="G234" s="3471"/>
      <c r="H234" s="3471"/>
      <c r="I234" s="3471"/>
      <c r="J234" s="3471"/>
      <c r="K234" s="3471"/>
      <c r="L234" s="3471"/>
      <c r="M234" s="3471"/>
      <c r="N234" s="3471"/>
      <c r="O234" s="3471"/>
      <c r="P234" s="3471"/>
      <c r="Q234" s="3471"/>
      <c r="R234" s="3471"/>
      <c r="S234" s="3471"/>
      <c r="T234" s="3471"/>
    </row>
    <row r="235" spans="1:20">
      <c r="A235" s="3471"/>
      <c r="B235" s="3471"/>
      <c r="C235" s="3471"/>
      <c r="D235" s="3471"/>
      <c r="E235" s="3471"/>
      <c r="F235" s="3471"/>
      <c r="G235" s="3471"/>
      <c r="H235" s="3471"/>
      <c r="I235" s="3471"/>
      <c r="J235" s="3471"/>
      <c r="K235" s="3471"/>
      <c r="L235" s="3471"/>
      <c r="M235" s="3471"/>
      <c r="N235" s="3471"/>
      <c r="O235" s="3471"/>
      <c r="P235" s="3471"/>
      <c r="Q235" s="3471"/>
      <c r="R235" s="3471"/>
      <c r="S235" s="3471"/>
      <c r="T235" s="3471"/>
    </row>
    <row r="236" spans="1:20">
      <c r="A236" s="3471"/>
      <c r="B236" s="3471"/>
      <c r="C236" s="3471"/>
      <c r="D236" s="3471"/>
      <c r="E236" s="3471"/>
      <c r="F236" s="3471"/>
      <c r="G236" s="3471"/>
      <c r="H236" s="3471"/>
      <c r="I236" s="3471"/>
      <c r="J236" s="3471"/>
      <c r="K236" s="3471"/>
      <c r="L236" s="3471"/>
      <c r="M236" s="3471"/>
      <c r="N236" s="3471"/>
      <c r="O236" s="3471"/>
      <c r="P236" s="3471"/>
      <c r="Q236" s="3471"/>
      <c r="R236" s="3471"/>
      <c r="S236" s="3471"/>
      <c r="T236" s="3471"/>
    </row>
    <row r="237" spans="1:20">
      <c r="A237" s="3471"/>
      <c r="B237" s="3471"/>
      <c r="C237" s="3471"/>
      <c r="D237" s="3471"/>
      <c r="E237" s="3471"/>
      <c r="F237" s="3471"/>
      <c r="G237" s="3471"/>
      <c r="H237" s="3471"/>
      <c r="I237" s="3471"/>
      <c r="J237" s="3471"/>
      <c r="K237" s="3471"/>
      <c r="L237" s="3471"/>
      <c r="M237" s="3471"/>
      <c r="N237" s="3471"/>
      <c r="O237" s="3471"/>
      <c r="P237" s="3471"/>
      <c r="Q237" s="3471"/>
      <c r="R237" s="3471"/>
      <c r="S237" s="3471"/>
      <c r="T237" s="3471"/>
    </row>
    <row r="238" spans="1:20">
      <c r="A238" s="3471"/>
      <c r="B238" s="3471"/>
      <c r="C238" s="3471"/>
      <c r="D238" s="3471"/>
      <c r="E238" s="3471"/>
      <c r="F238" s="3471"/>
      <c r="G238" s="3471"/>
      <c r="H238" s="3471"/>
      <c r="I238" s="3471"/>
      <c r="J238" s="3471"/>
      <c r="K238" s="3471"/>
      <c r="L238" s="3471"/>
      <c r="M238" s="3471"/>
      <c r="N238" s="3471"/>
      <c r="O238" s="3471"/>
      <c r="P238" s="3471"/>
      <c r="Q238" s="3471"/>
      <c r="R238" s="3471"/>
      <c r="S238" s="3471"/>
      <c r="T238" s="3471"/>
    </row>
    <row r="239" spans="1:20">
      <c r="A239" s="3471"/>
      <c r="B239" s="3471"/>
      <c r="C239" s="3471"/>
      <c r="D239" s="3471"/>
      <c r="E239" s="3471"/>
      <c r="F239" s="3471"/>
      <c r="G239" s="3471"/>
      <c r="H239" s="3471"/>
      <c r="I239" s="3471"/>
      <c r="J239" s="3471"/>
      <c r="K239" s="3471"/>
      <c r="L239" s="3471"/>
      <c r="M239" s="3471"/>
      <c r="N239" s="3471"/>
      <c r="O239" s="3471"/>
      <c r="P239" s="3471"/>
      <c r="Q239" s="3471"/>
      <c r="R239" s="3471"/>
      <c r="S239" s="3471"/>
      <c r="T239" s="3471"/>
    </row>
    <row r="240" spans="1:20">
      <c r="A240" s="3471"/>
      <c r="B240" s="3471"/>
      <c r="C240" s="3471"/>
      <c r="D240" s="3471"/>
      <c r="E240" s="3471"/>
      <c r="F240" s="3471"/>
      <c r="G240" s="3471"/>
      <c r="H240" s="3471"/>
      <c r="I240" s="3471"/>
      <c r="J240" s="3471"/>
      <c r="K240" s="3471"/>
      <c r="L240" s="3471"/>
      <c r="M240" s="3471"/>
      <c r="N240" s="3471"/>
      <c r="O240" s="3471"/>
      <c r="P240" s="3471"/>
      <c r="Q240" s="3471"/>
      <c r="R240" s="3471"/>
      <c r="S240" s="3471"/>
      <c r="T240" s="3471"/>
    </row>
    <row r="241" spans="1:20">
      <c r="A241" s="3471"/>
      <c r="B241" s="3471"/>
      <c r="C241" s="3471"/>
      <c r="D241" s="3471"/>
      <c r="E241" s="3471"/>
      <c r="F241" s="3471"/>
      <c r="G241" s="3471"/>
      <c r="H241" s="3471"/>
      <c r="I241" s="3471"/>
      <c r="J241" s="3471"/>
      <c r="K241" s="3471"/>
      <c r="L241" s="3471"/>
      <c r="M241" s="3471"/>
      <c r="N241" s="3471"/>
      <c r="O241" s="3471"/>
      <c r="P241" s="3471"/>
      <c r="Q241" s="3471"/>
      <c r="R241" s="3471"/>
      <c r="S241" s="3471"/>
      <c r="T241" s="34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38" sqref="N38"/>
    </sheetView>
  </sheetViews>
  <sheetFormatPr defaultColWidth="9" defaultRowHeight="13.8"/>
  <cols>
    <col min="1" max="1" width="10.44140625" style="2693" customWidth="1"/>
    <col min="2" max="2" width="15.77734375" style="2693" customWidth="1"/>
    <col min="3" max="3" width="14.33203125" style="2693" customWidth="1"/>
    <col min="4" max="4" width="12.21875" style="2693" customWidth="1"/>
    <col min="5" max="5" width="14.33203125" style="2693" customWidth="1"/>
    <col min="6" max="6" width="12.21875" style="2693" customWidth="1"/>
    <col min="7" max="7" width="14.44140625" style="2693" customWidth="1"/>
    <col min="8" max="8" width="12.21875" style="2693" customWidth="1"/>
    <col min="9" max="9" width="15.44140625" style="2693" customWidth="1"/>
    <col min="10" max="15" width="12.21875" style="2693" customWidth="1"/>
    <col min="16" max="16" width="4.77734375" style="3516" customWidth="1"/>
    <col min="17" max="17" width="19.44140625" style="2693" customWidth="1"/>
    <col min="18" max="22" width="6.109375" style="2693" customWidth="1"/>
    <col min="23" max="23" width="5.77734375" style="2693" customWidth="1"/>
    <col min="24" max="24" width="4.21875" style="2693" customWidth="1"/>
    <col min="25" max="25" width="3.44140625" style="2693" customWidth="1"/>
    <col min="26" max="26" width="19.77734375" style="2693" customWidth="1"/>
    <col min="27" max="28" width="9.33203125" style="2693" customWidth="1"/>
    <col min="29" max="16384" width="9" style="2693"/>
  </cols>
  <sheetData>
    <row r="1" spans="1:29" s="2705" customFormat="1" ht="28.5" customHeight="1" thickBot="1">
      <c r="A1" s="2694" t="s">
        <v>2285</v>
      </c>
      <c r="B1" s="3441" t="s">
        <v>3182</v>
      </c>
      <c r="C1" s="2703" t="s">
        <v>2108</v>
      </c>
      <c r="D1" s="2697" t="s">
        <v>48</v>
      </c>
      <c r="E1" s="3472"/>
      <c r="F1" s="2699" t="s">
        <v>3560</v>
      </c>
      <c r="G1" s="3473" t="s">
        <v>2221</v>
      </c>
      <c r="H1" s="3472"/>
      <c r="I1" s="3472"/>
      <c r="J1" s="3472"/>
      <c r="K1" s="3474"/>
      <c r="L1" s="3472"/>
      <c r="M1" s="3474"/>
      <c r="N1" s="3474"/>
      <c r="O1" s="3474"/>
      <c r="P1" s="3475"/>
      <c r="Q1" s="2703"/>
      <c r="R1" s="2703"/>
      <c r="S1" s="2703"/>
      <c r="T1" s="2703"/>
      <c r="U1" s="2703"/>
      <c r="V1" s="2703"/>
      <c r="W1" s="2703"/>
      <c r="X1" s="2703"/>
      <c r="Y1" s="2703"/>
      <c r="Z1" s="2703"/>
      <c r="AA1" s="2703"/>
      <c r="AB1" s="2703"/>
      <c r="AC1" s="2704"/>
    </row>
    <row r="2" spans="1:29" s="3446" customFormat="1" ht="28.5" customHeight="1" thickTop="1">
      <c r="A2" s="2706" t="s">
        <v>1908</v>
      </c>
      <c r="B2" s="2707">
        <f>IF(C2="——",IF(B37="元/平方米",ROUND(C39*D3/10000,0),ROUND(F3*C39/10000,0)),IF(B37="元/平方米",ROUND(C39*D3/10000,0),ROUND(F3*C39/10000,0))-D2)</f>
        <v>18092</v>
      </c>
      <c r="C2" s="2708" t="s">
        <v>70</v>
      </c>
      <c r="D2" s="2528" t="e">
        <f ca="1">SUMIF(INDIRECT("'"&amp;F2&amp;"'"&amp;"!A:A"),"承租人权益价值",INDIRECT("'"&amp;F2&amp;"'"&amp;"!c:c"))</f>
        <v>#REF!</v>
      </c>
      <c r="E2" s="2710" t="s">
        <v>1909</v>
      </c>
      <c r="F2" s="2711"/>
      <c r="G2" s="2529"/>
      <c r="H2" s="2529"/>
      <c r="I2" s="2529"/>
      <c r="J2" s="2529"/>
      <c r="K2" s="2531"/>
      <c r="L2" s="3442"/>
      <c r="M2" s="3443"/>
      <c r="N2" s="3443"/>
      <c r="O2" s="3443"/>
      <c r="P2" s="3476"/>
      <c r="Q2" s="3444"/>
      <c r="R2" s="3444"/>
      <c r="S2" s="3444"/>
      <c r="T2" s="3444"/>
      <c r="U2" s="3444"/>
      <c r="V2" s="3444"/>
      <c r="W2" s="3444"/>
      <c r="X2" s="3444"/>
      <c r="Y2" s="3444"/>
      <c r="Z2" s="3444"/>
      <c r="AA2" s="3444"/>
      <c r="AB2" s="3444"/>
      <c r="AC2" s="3445"/>
    </row>
    <row r="3" spans="1:29" s="3446" customFormat="1" ht="28.5" customHeight="1" thickBot="1">
      <c r="A3" s="2483" t="s">
        <v>1910</v>
      </c>
      <c r="B3" s="2719">
        <f>IF(AND(C2="——",B37="元/平方米"),C39,ROUND(B2*10000/D3,0))</f>
        <v>10539</v>
      </c>
      <c r="C3" s="2720" t="s">
        <v>2222</v>
      </c>
      <c r="D3" s="2719">
        <f>SUMIF('数据-汇总表'!$C19:$C33,D1,'数据-汇总表'!$E19:$E33)</f>
        <v>17166.82</v>
      </c>
      <c r="E3" s="2720" t="s">
        <v>2286</v>
      </c>
      <c r="F3" s="2719">
        <f>SUMIF('数据-取费表'!A5:A15,D1,'数据-取费表'!AH5:AH15)</f>
        <v>463</v>
      </c>
      <c r="G3" s="2529"/>
      <c r="H3" s="2529"/>
      <c r="I3" s="2529"/>
      <c r="J3" s="2529"/>
      <c r="K3" s="2531"/>
      <c r="L3" s="3442"/>
      <c r="M3" s="3443"/>
      <c r="N3" s="3443"/>
      <c r="O3" s="3443"/>
      <c r="P3" s="3476"/>
      <c r="Q3" s="3444"/>
      <c r="R3" s="3444"/>
      <c r="S3" s="3444"/>
      <c r="T3" s="3444"/>
      <c r="U3" s="3444"/>
      <c r="V3" s="3444"/>
      <c r="W3" s="3444"/>
      <c r="X3" s="3444"/>
      <c r="Y3" s="3444"/>
      <c r="Z3" s="3444"/>
      <c r="AA3" s="3444"/>
      <c r="AB3" s="3447"/>
      <c r="AC3" s="3448"/>
    </row>
    <row r="4" spans="1:29" ht="14.4">
      <c r="A4" s="2723" t="s">
        <v>2223</v>
      </c>
      <c r="B4" s="2724"/>
      <c r="C4" s="3820" t="s">
        <v>2224</v>
      </c>
      <c r="D4" s="3821"/>
      <c r="E4" s="3822" t="s">
        <v>2225</v>
      </c>
      <c r="F4" s="3823"/>
      <c r="G4" s="3820" t="s">
        <v>2226</v>
      </c>
      <c r="H4" s="3821"/>
      <c r="I4" s="3820" t="s">
        <v>2227</v>
      </c>
      <c r="J4" s="3821"/>
      <c r="K4" s="2534" t="s">
        <v>2228</v>
      </c>
      <c r="L4" s="2726"/>
      <c r="M4" s="2727"/>
      <c r="N4" s="2727"/>
      <c r="O4" s="2727"/>
      <c r="P4" s="3885" t="s">
        <v>2229</v>
      </c>
      <c r="Q4" s="3886"/>
      <c r="R4" s="3880" t="s">
        <v>2225</v>
      </c>
      <c r="S4" s="3881"/>
      <c r="T4" s="3880" t="s">
        <v>2226</v>
      </c>
      <c r="U4" s="3881"/>
      <c r="V4" s="3838" t="s">
        <v>2227</v>
      </c>
      <c r="W4" s="3838"/>
      <c r="X4" s="2734"/>
      <c r="Y4" s="3880" t="s">
        <v>2229</v>
      </c>
      <c r="Z4" s="3881"/>
      <c r="AA4" s="3875" t="s">
        <v>2225</v>
      </c>
      <c r="AB4" s="3876" t="s">
        <v>2226</v>
      </c>
      <c r="AC4" s="3875" t="s">
        <v>2227</v>
      </c>
    </row>
    <row r="5" spans="1:29">
      <c r="A5" s="2730"/>
      <c r="B5" s="2731"/>
      <c r="C5" s="3812" t="s">
        <v>2120</v>
      </c>
      <c r="D5" s="3813"/>
      <c r="E5" s="3810" t="s">
        <v>3561</v>
      </c>
      <c r="F5" s="3811"/>
      <c r="G5" s="3812" t="s">
        <v>3562</v>
      </c>
      <c r="H5" s="3813"/>
      <c r="I5" s="3942" t="s">
        <v>3563</v>
      </c>
      <c r="J5" s="3811"/>
      <c r="K5" s="2534"/>
      <c r="L5" s="2726"/>
      <c r="M5" s="2727"/>
      <c r="N5" s="2727"/>
      <c r="O5" s="2727"/>
      <c r="P5" s="3887"/>
      <c r="Q5" s="3888"/>
      <c r="R5" s="3882"/>
      <c r="S5" s="3883"/>
      <c r="T5" s="3882"/>
      <c r="U5" s="3883"/>
      <c r="V5" s="3838"/>
      <c r="W5" s="3838"/>
      <c r="X5" s="2734"/>
      <c r="Y5" s="3882"/>
      <c r="Z5" s="3883"/>
      <c r="AA5" s="3876"/>
      <c r="AB5" s="3876"/>
      <c r="AC5" s="3876"/>
    </row>
    <row r="6" spans="1:29" ht="15" thickBot="1">
      <c r="A6" s="2735"/>
      <c r="B6" s="2604"/>
      <c r="C6" s="3814" t="s">
        <v>2124</v>
      </c>
      <c r="D6" s="3815"/>
      <c r="E6" s="3816" t="s">
        <v>2124</v>
      </c>
      <c r="F6" s="3817"/>
      <c r="G6" s="3814" t="s">
        <v>2124</v>
      </c>
      <c r="H6" s="3815"/>
      <c r="I6" s="3814" t="s">
        <v>2124</v>
      </c>
      <c r="J6" s="3815"/>
      <c r="K6" s="2534" t="s">
        <v>2125</v>
      </c>
      <c r="L6" s="2726"/>
      <c r="M6" s="2727"/>
      <c r="N6" s="2727"/>
      <c r="O6" s="2727"/>
      <c r="P6" s="3889"/>
      <c r="Q6" s="3890"/>
      <c r="R6" s="3882"/>
      <c r="S6" s="3883"/>
      <c r="T6" s="3891"/>
      <c r="U6" s="3892"/>
      <c r="V6" s="3838"/>
      <c r="W6" s="3838"/>
      <c r="X6" s="2734"/>
      <c r="Y6" s="3891"/>
      <c r="Z6" s="3892"/>
      <c r="AA6" s="3877"/>
      <c r="AB6" s="3877"/>
      <c r="AC6" s="3877"/>
    </row>
    <row r="7" spans="1:29" s="2746" customFormat="1" ht="15" thickBot="1">
      <c r="A7" s="2737" t="s">
        <v>2126</v>
      </c>
      <c r="B7" s="2738"/>
      <c r="C7" s="2535">
        <f>'数据-取费表'!B2</f>
        <v>44775</v>
      </c>
      <c r="D7" s="2536">
        <v>100</v>
      </c>
      <c r="E7" s="3436">
        <v>44743</v>
      </c>
      <c r="F7" s="2537">
        <f>SUMIF(48:48,YEAR(E7)&amp;"-"&amp;MONTH(E7),49:49)</f>
        <v>100</v>
      </c>
      <c r="G7" s="3436">
        <v>44743</v>
      </c>
      <c r="H7" s="2536">
        <f>SUMIF(48:48,YEAR(G7)&amp;"-"&amp;MONTH(G7),49:49)</f>
        <v>100</v>
      </c>
      <c r="I7" s="3436">
        <v>44743</v>
      </c>
      <c r="J7" s="2536">
        <f>SUMIF(48:48,YEAR(I7)&amp;"-"&amp;MONTH(I7),49:49)</f>
        <v>100</v>
      </c>
      <c r="K7" s="2534"/>
      <c r="L7" s="2739"/>
      <c r="M7" s="2740"/>
      <c r="N7" s="2740"/>
      <c r="O7" s="2740"/>
      <c r="P7" s="3878" t="s">
        <v>2127</v>
      </c>
      <c r="Q7" s="3893"/>
      <c r="R7" s="2741" t="s">
        <v>17</v>
      </c>
      <c r="S7" s="2744">
        <f t="shared" ref="S7:S14" si="0">F7</f>
        <v>100</v>
      </c>
      <c r="T7" s="2741" t="s">
        <v>17</v>
      </c>
      <c r="U7" s="2744">
        <f t="shared" ref="U7:U14" si="1">H7</f>
        <v>100</v>
      </c>
      <c r="V7" s="2741" t="s">
        <v>17</v>
      </c>
      <c r="W7" s="2744">
        <f t="shared" ref="W7:W14" si="2">J7</f>
        <v>100</v>
      </c>
      <c r="X7" s="2743"/>
      <c r="Y7" s="3878" t="s">
        <v>2127</v>
      </c>
      <c r="Z7" s="3879"/>
      <c r="AA7" s="2745">
        <f>D7/F7</f>
        <v>1</v>
      </c>
      <c r="AB7" s="2745">
        <f>D7/H7</f>
        <v>1</v>
      </c>
      <c r="AC7" s="2745">
        <f>D7/J7</f>
        <v>1</v>
      </c>
    </row>
    <row r="8" spans="1:29" s="2746" customFormat="1" ht="15" thickBot="1">
      <c r="A8" s="2737" t="s">
        <v>2128</v>
      </c>
      <c r="B8" s="2738"/>
      <c r="C8" s="2538" t="s">
        <v>2230</v>
      </c>
      <c r="D8" s="2536">
        <v>100</v>
      </c>
      <c r="E8" s="2538" t="s">
        <v>2165</v>
      </c>
      <c r="F8" s="2537">
        <f>SUMIF(51:51,E8,52:52)-SUMIF(51:51,C8,52:52)+100</f>
        <v>100</v>
      </c>
      <c r="G8" s="2538" t="s">
        <v>2165</v>
      </c>
      <c r="H8" s="2536">
        <f>SUMIF(51:51,G8,52:52)-SUMIF(51:51,C8,52:52)+100</f>
        <v>100</v>
      </c>
      <c r="I8" s="2538" t="s">
        <v>2165</v>
      </c>
      <c r="J8" s="2536">
        <f>SUMIF(51:51,I8,52:52)-SUMIF(51:51,C8,52:52)+100</f>
        <v>100</v>
      </c>
      <c r="K8" s="2534"/>
      <c r="L8" s="2739"/>
      <c r="M8" s="2740"/>
      <c r="N8" s="2740"/>
      <c r="O8" s="2740"/>
      <c r="P8" s="3878" t="s">
        <v>2130</v>
      </c>
      <c r="Q8" s="3879"/>
      <c r="R8" s="2741" t="s">
        <v>17</v>
      </c>
      <c r="S8" s="2744">
        <f t="shared" si="0"/>
        <v>100</v>
      </c>
      <c r="T8" s="2741" t="s">
        <v>17</v>
      </c>
      <c r="U8" s="2744">
        <f t="shared" si="1"/>
        <v>100</v>
      </c>
      <c r="V8" s="2741" t="s">
        <v>17</v>
      </c>
      <c r="W8" s="2744">
        <f t="shared" si="2"/>
        <v>100</v>
      </c>
      <c r="X8" s="2743"/>
      <c r="Y8" s="3878" t="s">
        <v>2130</v>
      </c>
      <c r="Z8" s="3879"/>
      <c r="AA8" s="2745">
        <f t="shared" ref="AA8:AA36" si="3">D8/F8</f>
        <v>1</v>
      </c>
      <c r="AB8" s="2745">
        <f t="shared" ref="AB8:AB36" si="4">D8/H8</f>
        <v>1</v>
      </c>
      <c r="AC8" s="2745">
        <f t="shared" ref="AC8:AC36" si="5">D8/J8</f>
        <v>1</v>
      </c>
    </row>
    <row r="9" spans="1:29" s="2746" customFormat="1" ht="14.4">
      <c r="A9" s="2940" t="s">
        <v>2131</v>
      </c>
      <c r="B9" s="3477" t="s">
        <v>2132</v>
      </c>
      <c r="C9" s="2749" t="s">
        <v>3564</v>
      </c>
      <c r="D9" s="2540">
        <v>100</v>
      </c>
      <c r="E9" s="2749" t="s">
        <v>3564</v>
      </c>
      <c r="F9" s="2540">
        <f>SUMIF(53:53,E9,54:54)-SUMIF(53:53,C9,54:54)+100</f>
        <v>100</v>
      </c>
      <c r="G9" s="2749" t="s">
        <v>3564</v>
      </c>
      <c r="H9" s="2540">
        <f>SUMIF(53:53,G9,54:54)-SUMIF(53:53,C9,54:54)+100</f>
        <v>100</v>
      </c>
      <c r="I9" s="2749" t="s">
        <v>3564</v>
      </c>
      <c r="J9" s="2540">
        <f>SUMIF(53:53,I9,54:54)-SUMIF(53:53,C9,54:54)+100</f>
        <v>100</v>
      </c>
      <c r="K9" s="2534"/>
      <c r="L9" s="2739"/>
      <c r="M9" s="2740"/>
      <c r="N9" s="2740"/>
      <c r="O9" s="2740"/>
      <c r="P9" s="3845" t="s">
        <v>2133</v>
      </c>
      <c r="Q9" s="2750" t="str">
        <f t="shared" ref="Q9:Q14" si="6">B9</f>
        <v>用途</v>
      </c>
      <c r="R9" s="2741" t="s">
        <v>17</v>
      </c>
      <c r="S9" s="2744">
        <f t="shared" si="0"/>
        <v>100</v>
      </c>
      <c r="T9" s="2741" t="s">
        <v>17</v>
      </c>
      <c r="U9" s="2744">
        <f t="shared" si="1"/>
        <v>100</v>
      </c>
      <c r="V9" s="2741" t="s">
        <v>17</v>
      </c>
      <c r="W9" s="2744">
        <f t="shared" si="2"/>
        <v>100</v>
      </c>
      <c r="X9" s="2743"/>
      <c r="Y9" s="3777" t="s">
        <v>2134</v>
      </c>
      <c r="Z9" s="2745" t="str">
        <f t="shared" ref="Z9:Z14" si="7">Q9</f>
        <v>用途</v>
      </c>
      <c r="AA9" s="2745">
        <f t="shared" si="3"/>
        <v>1</v>
      </c>
      <c r="AB9" s="2745">
        <f t="shared" si="4"/>
        <v>1</v>
      </c>
      <c r="AC9" s="2745">
        <f t="shared" si="5"/>
        <v>1</v>
      </c>
    </row>
    <row r="10" spans="1:29" s="2757" customFormat="1" ht="28.8">
      <c r="A10" s="3478"/>
      <c r="B10" s="3479" t="s">
        <v>2135</v>
      </c>
      <c r="C10" s="2753" t="s">
        <v>3557</v>
      </c>
      <c r="D10" s="2542">
        <v>100</v>
      </c>
      <c r="E10" s="2753" t="s">
        <v>3557</v>
      </c>
      <c r="F10" s="2542">
        <f>SUMIF(55:55,E10,56:56)-SUMIF(55:55,C10,56:56)+100</f>
        <v>100</v>
      </c>
      <c r="G10" s="2753" t="s">
        <v>3557</v>
      </c>
      <c r="H10" s="2542">
        <f>SUMIF(55:55,G10,56:56)-SUMIF(55:55,C10,56:56)+100</f>
        <v>100</v>
      </c>
      <c r="I10" s="2753" t="s">
        <v>3557</v>
      </c>
      <c r="J10" s="2542">
        <f>SUMIF(55:55,I10,56:56)-SUMIF(55:55,C10,56:56)+100</f>
        <v>100</v>
      </c>
      <c r="K10" s="2580">
        <f>'比较法-仓储'!K10</f>
        <v>1</v>
      </c>
      <c r="L10" s="2755"/>
      <c r="M10" s="2756"/>
      <c r="N10" s="2756"/>
      <c r="O10" s="2756"/>
      <c r="P10" s="3845"/>
      <c r="Q10" s="2750" t="str">
        <f t="shared" si="6"/>
        <v>土地使用年限（年）</v>
      </c>
      <c r="R10" s="2741" t="s">
        <v>17</v>
      </c>
      <c r="S10" s="2744">
        <f t="shared" si="0"/>
        <v>100</v>
      </c>
      <c r="T10" s="2741" t="s">
        <v>17</v>
      </c>
      <c r="U10" s="2744">
        <f t="shared" si="1"/>
        <v>100</v>
      </c>
      <c r="V10" s="2741" t="s">
        <v>17</v>
      </c>
      <c r="W10" s="2744">
        <f t="shared" si="2"/>
        <v>100</v>
      </c>
      <c r="X10" s="2743"/>
      <c r="Y10" s="3777"/>
      <c r="Z10" s="2745" t="str">
        <f t="shared" si="7"/>
        <v>土地使用年限（年）</v>
      </c>
      <c r="AA10" s="2745">
        <f t="shared" si="3"/>
        <v>1</v>
      </c>
      <c r="AB10" s="2745">
        <f t="shared" si="4"/>
        <v>1</v>
      </c>
      <c r="AC10" s="2745">
        <f t="shared" si="5"/>
        <v>1</v>
      </c>
    </row>
    <row r="11" spans="1:29" ht="15">
      <c r="A11" s="3480"/>
      <c r="B11" s="3481">
        <v>111</v>
      </c>
      <c r="C11" s="2541"/>
      <c r="D11" s="2542">
        <v>100</v>
      </c>
      <c r="E11" s="2541"/>
      <c r="F11" s="2542">
        <f>SUMIF(57:57,E11,58:58)-SUMIF(57:57,C11,58:58)+100</f>
        <v>100</v>
      </c>
      <c r="G11" s="2541"/>
      <c r="H11" s="2542">
        <f>SUMIF(57:57,G11,58:58)-SUMIF(57:57,C11,58:58)+100</f>
        <v>100</v>
      </c>
      <c r="I11" s="2541"/>
      <c r="J11" s="2542">
        <f>SUMIF(57:57,I11,58:58)-SUMIF(57:57,C11,58:58)+100</f>
        <v>100</v>
      </c>
      <c r="K11" s="2579"/>
      <c r="L11" s="2759"/>
      <c r="M11" s="2727"/>
      <c r="N11" s="2727"/>
      <c r="O11" s="2727"/>
      <c r="P11" s="3845"/>
      <c r="Q11" s="2750">
        <f t="shared" si="6"/>
        <v>111</v>
      </c>
      <c r="R11" s="2741" t="s">
        <v>17</v>
      </c>
      <c r="S11" s="2744">
        <f t="shared" si="0"/>
        <v>100</v>
      </c>
      <c r="T11" s="2741" t="s">
        <v>17</v>
      </c>
      <c r="U11" s="2744">
        <f t="shared" si="1"/>
        <v>100</v>
      </c>
      <c r="V11" s="2741" t="s">
        <v>17</v>
      </c>
      <c r="W11" s="2744">
        <f t="shared" si="2"/>
        <v>100</v>
      </c>
      <c r="X11" s="2743"/>
      <c r="Y11" s="3777"/>
      <c r="Z11" s="2745">
        <f t="shared" si="7"/>
        <v>111</v>
      </c>
      <c r="AA11" s="2745">
        <f t="shared" si="3"/>
        <v>1</v>
      </c>
      <c r="AB11" s="2745">
        <f t="shared" si="4"/>
        <v>1</v>
      </c>
      <c r="AC11" s="2745">
        <f t="shared" si="5"/>
        <v>1</v>
      </c>
    </row>
    <row r="12" spans="1:29" s="2746" customFormat="1" ht="15">
      <c r="A12" s="3482"/>
      <c r="B12" s="3481">
        <v>111</v>
      </c>
      <c r="C12" s="2541"/>
      <c r="D12" s="2549">
        <v>100</v>
      </c>
      <c r="E12" s="2541"/>
      <c r="F12" s="2542">
        <f>SUMIF(59:59,E12,60:60)-SUMIF(59:59,C12,60:60)+100</f>
        <v>100</v>
      </c>
      <c r="G12" s="2541"/>
      <c r="H12" s="2542">
        <f>SUMIF(59:59,G12,60:60)-SUMIF(59:59,C12,60:60)+100</f>
        <v>100</v>
      </c>
      <c r="I12" s="2541"/>
      <c r="J12" s="2542">
        <f>SUMIF(59:59,I12,60:60)-SUMIF(59:59,C12,60:60)+100</f>
        <v>100</v>
      </c>
      <c r="K12" s="2579"/>
      <c r="L12" s="2739"/>
      <c r="M12" s="2740"/>
      <c r="N12" s="2740"/>
      <c r="O12" s="2740"/>
      <c r="P12" s="3845"/>
      <c r="Q12" s="2750">
        <f t="shared" si="6"/>
        <v>111</v>
      </c>
      <c r="R12" s="2741" t="s">
        <v>17</v>
      </c>
      <c r="S12" s="2744">
        <f t="shared" si="0"/>
        <v>100</v>
      </c>
      <c r="T12" s="2741" t="s">
        <v>17</v>
      </c>
      <c r="U12" s="2744">
        <f t="shared" si="1"/>
        <v>100</v>
      </c>
      <c r="V12" s="2741" t="s">
        <v>17</v>
      </c>
      <c r="W12" s="2744">
        <f t="shared" si="2"/>
        <v>100</v>
      </c>
      <c r="X12" s="2743"/>
      <c r="Y12" s="3777"/>
      <c r="Z12" s="2745">
        <f t="shared" si="7"/>
        <v>111</v>
      </c>
      <c r="AA12" s="2745">
        <f>D12/F12</f>
        <v>1</v>
      </c>
      <c r="AB12" s="2745">
        <f>D12/H12</f>
        <v>1</v>
      </c>
      <c r="AC12" s="2745">
        <f>D12/J12</f>
        <v>1</v>
      </c>
    </row>
    <row r="13" spans="1:29" ht="15.6" thickBot="1">
      <c r="A13" s="3483"/>
      <c r="B13" s="3481">
        <v>111</v>
      </c>
      <c r="C13" s="2550"/>
      <c r="D13" s="2551">
        <v>100</v>
      </c>
      <c r="E13" s="2541"/>
      <c r="F13" s="2542">
        <f>SUMIF(61:61,E13,62:62)-SUMIF(61:61,C13,62:62)+100</f>
        <v>100</v>
      </c>
      <c r="G13" s="2541"/>
      <c r="H13" s="2551">
        <f>SUMIF(61:61,G13,62:62)-SUMIF(61:61,C13,62:62)+100</f>
        <v>100</v>
      </c>
      <c r="I13" s="2541"/>
      <c r="J13" s="2551">
        <f>SUMIF(61:61,I13,62:62)-SUMIF(61:61,C13,62:62)+100</f>
        <v>100</v>
      </c>
      <c r="K13" s="2579"/>
      <c r="L13" s="2763"/>
      <c r="M13" s="2727"/>
      <c r="N13" s="2727"/>
      <c r="O13" s="2727"/>
      <c r="P13" s="3845"/>
      <c r="Q13" s="2750">
        <f t="shared" si="6"/>
        <v>111</v>
      </c>
      <c r="R13" s="2741" t="s">
        <v>17</v>
      </c>
      <c r="S13" s="2744">
        <f t="shared" si="0"/>
        <v>100</v>
      </c>
      <c r="T13" s="2741" t="s">
        <v>17</v>
      </c>
      <c r="U13" s="2744">
        <f t="shared" si="1"/>
        <v>100</v>
      </c>
      <c r="V13" s="2741" t="s">
        <v>17</v>
      </c>
      <c r="W13" s="2744">
        <f t="shared" si="2"/>
        <v>100</v>
      </c>
      <c r="X13" s="2743"/>
      <c r="Y13" s="3777"/>
      <c r="Z13" s="2745">
        <f t="shared" si="7"/>
        <v>111</v>
      </c>
      <c r="AA13" s="2745">
        <f t="shared" si="3"/>
        <v>1</v>
      </c>
      <c r="AB13" s="2745">
        <f t="shared" si="4"/>
        <v>1</v>
      </c>
      <c r="AC13" s="2745">
        <f t="shared" si="5"/>
        <v>1</v>
      </c>
    </row>
    <row r="14" spans="1:29" ht="78.75" customHeight="1">
      <c r="A14" s="2723" t="s">
        <v>2137</v>
      </c>
      <c r="B14" s="3484"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SUMIF(63:63,E15,64:64)-SUMIF(63:63,C15,64:64)+100</f>
        <v>100</v>
      </c>
      <c r="G14" s="2769"/>
      <c r="H14" s="2557">
        <f>SUMIF(63:63,G15,64:64)-SUMIF(63:63,C15,64:64)+100</f>
        <v>100</v>
      </c>
      <c r="I14" s="2558"/>
      <c r="J14" s="2557">
        <f>SUMIF(63:63,I15,64:64)-SUMIF(63:63,C15,64:64)+100</f>
        <v>100</v>
      </c>
      <c r="K14" s="3454">
        <f>'比较法-仓储'!K14</f>
        <v>1</v>
      </c>
      <c r="L14" s="2763"/>
      <c r="M14" s="2727">
        <f>D3/F3</f>
        <v>37.077365010799134</v>
      </c>
      <c r="N14" s="2727"/>
      <c r="O14" s="2727"/>
      <c r="P14" s="3897" t="s">
        <v>2138</v>
      </c>
      <c r="Q14" s="2624" t="str">
        <f t="shared" si="6"/>
        <v>交通便捷度</v>
      </c>
      <c r="R14" s="2609" t="s">
        <v>17</v>
      </c>
      <c r="S14" s="2598">
        <f t="shared" si="0"/>
        <v>100</v>
      </c>
      <c r="T14" s="2609" t="s">
        <v>17</v>
      </c>
      <c r="U14" s="2598">
        <f t="shared" si="1"/>
        <v>100</v>
      </c>
      <c r="V14" s="2609" t="s">
        <v>17</v>
      </c>
      <c r="W14" s="2598">
        <f t="shared" si="2"/>
        <v>100</v>
      </c>
      <c r="X14" s="2734"/>
      <c r="Y14" s="3897" t="s">
        <v>2138</v>
      </c>
      <c r="Z14" s="2772" t="str">
        <f t="shared" si="7"/>
        <v>交通便捷度</v>
      </c>
      <c r="AA14" s="2772">
        <f t="shared" si="3"/>
        <v>1</v>
      </c>
      <c r="AB14" s="2772">
        <f t="shared" si="4"/>
        <v>1</v>
      </c>
      <c r="AC14" s="2772">
        <f t="shared" si="5"/>
        <v>1</v>
      </c>
    </row>
    <row r="15" spans="1:29" ht="15">
      <c r="A15" s="2730"/>
      <c r="B15" s="3485"/>
      <c r="C15" s="2561" t="s">
        <v>3529</v>
      </c>
      <c r="D15" s="2562"/>
      <c r="E15" s="2561" t="s">
        <v>3529</v>
      </c>
      <c r="F15" s="2736"/>
      <c r="G15" s="2561" t="s">
        <v>3529</v>
      </c>
      <c r="H15" s="2564"/>
      <c r="I15" s="2561" t="s">
        <v>3529</v>
      </c>
      <c r="J15" s="2562"/>
      <c r="K15" s="3455"/>
      <c r="L15" s="2763"/>
      <c r="M15" s="2727"/>
      <c r="N15" s="2727"/>
      <c r="O15" s="2727"/>
      <c r="P15" s="3898"/>
      <c r="Q15" s="2624"/>
      <c r="R15" s="2609"/>
      <c r="S15" s="2598"/>
      <c r="T15" s="2609"/>
      <c r="U15" s="2598"/>
      <c r="V15" s="2609"/>
      <c r="W15" s="2598"/>
      <c r="X15" s="2734"/>
      <c r="Y15" s="3898"/>
      <c r="Z15" s="2772"/>
      <c r="AA15" s="2772">
        <v>1</v>
      </c>
      <c r="AB15" s="2772">
        <v>1</v>
      </c>
      <c r="AC15" s="2772">
        <v>1</v>
      </c>
    </row>
    <row r="16" spans="1:29" ht="101.25" customHeight="1">
      <c r="A16" s="2730"/>
      <c r="B16" s="348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2" t="s">
        <v>3529</v>
      </c>
      <c r="F16" s="2728">
        <f>SUMIF(65:65,E17,66:66)-SUMIF(65:65,C17,66:66)+100</f>
        <v>100</v>
      </c>
      <c r="G16" s="2572" t="s">
        <v>3529</v>
      </c>
      <c r="H16" s="2567">
        <f>SUMIF(65:65,G17,66:66)-SUMIF(65:65,C17,66:66)+100</f>
        <v>100</v>
      </c>
      <c r="I16" s="2572" t="s">
        <v>3529</v>
      </c>
      <c r="J16" s="2567">
        <f>SUMIF(65:65,I17,66:66)-SUMIF(65:65,C17,66:66)+100</f>
        <v>100</v>
      </c>
      <c r="K16" s="3454">
        <f>'比较法-仓储'!K16</f>
        <v>1</v>
      </c>
      <c r="L16" s="2763"/>
      <c r="M16" s="2727"/>
      <c r="N16" s="2727"/>
      <c r="O16" s="2727"/>
      <c r="P16" s="3898"/>
      <c r="Q16" s="2624" t="str">
        <f>B16</f>
        <v>公共配套设施</v>
      </c>
      <c r="R16" s="2609" t="s">
        <v>17</v>
      </c>
      <c r="S16" s="2598">
        <f>F16</f>
        <v>100</v>
      </c>
      <c r="T16" s="2609" t="s">
        <v>17</v>
      </c>
      <c r="U16" s="2598">
        <f>H16</f>
        <v>100</v>
      </c>
      <c r="V16" s="2609" t="s">
        <v>17</v>
      </c>
      <c r="W16" s="2598">
        <f>J16</f>
        <v>100</v>
      </c>
      <c r="X16" s="2734"/>
      <c r="Y16" s="3898"/>
      <c r="Z16" s="2772" t="str">
        <f>Q16</f>
        <v>公共配套设施</v>
      </c>
      <c r="AA16" s="2772">
        <f t="shared" si="3"/>
        <v>1</v>
      </c>
      <c r="AB16" s="2772">
        <f t="shared" si="4"/>
        <v>1</v>
      </c>
      <c r="AC16" s="2772">
        <f t="shared" si="5"/>
        <v>1</v>
      </c>
    </row>
    <row r="17" spans="1:29" ht="15">
      <c r="A17" s="2730"/>
      <c r="B17" s="2782"/>
      <c r="C17" s="2569" t="s">
        <v>3529</v>
      </c>
      <c r="D17" s="2562"/>
      <c r="E17" s="2561" t="s">
        <v>3529</v>
      </c>
      <c r="F17" s="2736"/>
      <c r="G17" s="2561" t="s">
        <v>3529</v>
      </c>
      <c r="H17" s="2562"/>
      <c r="I17" s="2561" t="s">
        <v>3529</v>
      </c>
      <c r="J17" s="2562"/>
      <c r="K17" s="3455"/>
      <c r="L17" s="2763"/>
      <c r="M17" s="2727"/>
      <c r="N17" s="2727"/>
      <c r="O17" s="2727"/>
      <c r="P17" s="3898"/>
      <c r="Q17" s="2624"/>
      <c r="R17" s="2609"/>
      <c r="S17" s="2598"/>
      <c r="T17" s="2609"/>
      <c r="U17" s="2598"/>
      <c r="V17" s="2609"/>
      <c r="W17" s="2598"/>
      <c r="X17" s="2734"/>
      <c r="Y17" s="3898"/>
      <c r="Z17" s="2772"/>
      <c r="AA17" s="2772">
        <v>1</v>
      </c>
      <c r="AB17" s="2772">
        <v>1</v>
      </c>
      <c r="AC17" s="2772">
        <v>1</v>
      </c>
    </row>
    <row r="18" spans="1:29" ht="41.4">
      <c r="A18" s="2730"/>
      <c r="B18" s="3458" t="s">
        <v>2267</v>
      </c>
      <c r="C18" s="2771" t="str">
        <f>IF(B1="工业",估价对象房地状况!G6,估价对象房地状况!C8)</f>
        <v>估价对象所在区域基础设施水平</v>
      </c>
      <c r="D18" s="2564">
        <v>100</v>
      </c>
      <c r="E18" s="2572" t="s">
        <v>3531</v>
      </c>
      <c r="F18" s="2728">
        <f>SUMIF(67:67,E19,68:68)-SUMIF(67:67,C19,68:68)+100</f>
        <v>100</v>
      </c>
      <c r="G18" s="2572" t="s">
        <v>3531</v>
      </c>
      <c r="H18" s="2567">
        <f>SUMIF(67:67,G19,68:68)-SUMIF(67:67,C19,68:68)+100</f>
        <v>100</v>
      </c>
      <c r="I18" s="2572" t="s">
        <v>3531</v>
      </c>
      <c r="J18" s="2567">
        <f>SUMIF(67:67,I19,68:68)-SUMIF(67:67,C19,68:68)+100</f>
        <v>100</v>
      </c>
      <c r="K18" s="3454">
        <f>'比较法-仓储'!K18</f>
        <v>1</v>
      </c>
      <c r="L18" s="2763"/>
      <c r="M18" s="2727"/>
      <c r="N18" s="2727"/>
      <c r="O18" s="2727"/>
      <c r="P18" s="3898"/>
      <c r="Q18" s="2624" t="str">
        <f>B18</f>
        <v>基础设施水平</v>
      </c>
      <c r="R18" s="2609" t="s">
        <v>17</v>
      </c>
      <c r="S18" s="2598">
        <f>F18</f>
        <v>100</v>
      </c>
      <c r="T18" s="2609" t="s">
        <v>17</v>
      </c>
      <c r="U18" s="2598">
        <f>H18</f>
        <v>100</v>
      </c>
      <c r="V18" s="2609" t="s">
        <v>17</v>
      </c>
      <c r="W18" s="2598">
        <f>J18</f>
        <v>100</v>
      </c>
      <c r="X18" s="2734"/>
      <c r="Y18" s="3898"/>
      <c r="Z18" s="2772" t="str">
        <f>Q18</f>
        <v>基础设施水平</v>
      </c>
      <c r="AA18" s="2772">
        <f t="shared" ref="AA18" si="8">D18/F18</f>
        <v>1</v>
      </c>
      <c r="AB18" s="2772">
        <f t="shared" ref="AB18" si="9">D18/H18</f>
        <v>1</v>
      </c>
      <c r="AC18" s="2772">
        <f t="shared" ref="AC18" si="10">D18/J18</f>
        <v>1</v>
      </c>
    </row>
    <row r="19" spans="1:29" ht="15">
      <c r="A19" s="2730"/>
      <c r="B19" s="3458"/>
      <c r="C19" s="2569" t="s">
        <v>3531</v>
      </c>
      <c r="D19" s="2564"/>
      <c r="E19" s="2561" t="s">
        <v>3531</v>
      </c>
      <c r="F19" s="2733"/>
      <c r="G19" s="2561" t="s">
        <v>3531</v>
      </c>
      <c r="H19" s="2562"/>
      <c r="I19" s="2561" t="s">
        <v>3531</v>
      </c>
      <c r="J19" s="2562"/>
      <c r="K19" s="3456"/>
      <c r="L19" s="2763"/>
      <c r="M19" s="2727"/>
      <c r="N19" s="2727"/>
      <c r="O19" s="2727"/>
      <c r="P19" s="3898"/>
      <c r="Q19" s="2624"/>
      <c r="R19" s="2609"/>
      <c r="S19" s="2598"/>
      <c r="T19" s="2609"/>
      <c r="U19" s="2598"/>
      <c r="V19" s="2609"/>
      <c r="W19" s="2598"/>
      <c r="X19" s="2734"/>
      <c r="Y19" s="3898"/>
      <c r="Z19" s="2772"/>
      <c r="AA19" s="2772">
        <v>1</v>
      </c>
      <c r="AB19" s="2772">
        <v>1</v>
      </c>
      <c r="AC19" s="2772">
        <v>1</v>
      </c>
    </row>
    <row r="20" spans="1:29" ht="124.2">
      <c r="A20" s="2730"/>
      <c r="B20" s="3486" t="s">
        <v>2288</v>
      </c>
      <c r="C20" s="2771" t="str">
        <f>IF(B1="工业",估价对象房地状况!G7,估价对象房地状况!C9)</f>
        <v>所处区域有温榆河、旧河湾等，自然环境较好；区域内有民航博物馆等，人文环境一般；综合评价自然及人文环境较好</v>
      </c>
      <c r="D20" s="2567">
        <v>100</v>
      </c>
      <c r="E20" s="2566" t="s">
        <v>3530</v>
      </c>
      <c r="F20" s="2728">
        <f>SUMIF(69:69,E21,70:70)-SUMIF(69:69,C21,70:70)+100</f>
        <v>100</v>
      </c>
      <c r="G20" s="2566" t="s">
        <v>3530</v>
      </c>
      <c r="H20" s="2564">
        <f>SUMIF(69:69,G21,70:70)-SUMIF(69:69,C21,70:70)+100</f>
        <v>100</v>
      </c>
      <c r="I20" s="2566" t="s">
        <v>3530</v>
      </c>
      <c r="J20" s="2564">
        <f>SUMIF(69:69,I21,70:70)-SUMIF(69:69,C21,70:70)+100</f>
        <v>100</v>
      </c>
      <c r="K20" s="3454">
        <f>'比较法-仓储'!K20</f>
        <v>1</v>
      </c>
      <c r="L20" s="2763"/>
      <c r="M20" s="2727"/>
      <c r="N20" s="2727"/>
      <c r="O20" s="2727"/>
      <c r="P20" s="3898"/>
      <c r="Q20" s="2624" t="str">
        <f>B20</f>
        <v>自然及人文环境</v>
      </c>
      <c r="R20" s="2609" t="s">
        <v>17</v>
      </c>
      <c r="S20" s="2598">
        <f>F20</f>
        <v>100</v>
      </c>
      <c r="T20" s="2609" t="s">
        <v>17</v>
      </c>
      <c r="U20" s="2598">
        <f>H20</f>
        <v>100</v>
      </c>
      <c r="V20" s="2609" t="s">
        <v>17</v>
      </c>
      <c r="W20" s="2598">
        <f>J20</f>
        <v>100</v>
      </c>
      <c r="X20" s="2734"/>
      <c r="Y20" s="3898"/>
      <c r="Z20" s="2772" t="str">
        <f>Q20</f>
        <v>自然及人文环境</v>
      </c>
      <c r="AA20" s="2772">
        <f t="shared" si="3"/>
        <v>1</v>
      </c>
      <c r="AB20" s="2772">
        <f t="shared" si="4"/>
        <v>1</v>
      </c>
      <c r="AC20" s="2772">
        <f t="shared" si="5"/>
        <v>1</v>
      </c>
    </row>
    <row r="21" spans="1:29" ht="15">
      <c r="A21" s="2730"/>
      <c r="B21" s="2782"/>
      <c r="C21" s="2561" t="s">
        <v>3530</v>
      </c>
      <c r="D21" s="2562"/>
      <c r="E21" s="2561" t="s">
        <v>3530</v>
      </c>
      <c r="F21" s="2736"/>
      <c r="G21" s="2561" t="s">
        <v>3530</v>
      </c>
      <c r="H21" s="2562"/>
      <c r="I21" s="2561" t="s">
        <v>3530</v>
      </c>
      <c r="J21" s="2562"/>
      <c r="K21" s="3455"/>
      <c r="L21" s="2763"/>
      <c r="M21" s="2727"/>
      <c r="N21" s="2727"/>
      <c r="O21" s="2727"/>
      <c r="P21" s="3898"/>
      <c r="Q21" s="2624"/>
      <c r="R21" s="2609"/>
      <c r="S21" s="2598"/>
      <c r="T21" s="2609"/>
      <c r="U21" s="2598"/>
      <c r="V21" s="2609"/>
      <c r="W21" s="2598"/>
      <c r="X21" s="2734"/>
      <c r="Y21" s="3898"/>
      <c r="Z21" s="2772"/>
      <c r="AA21" s="2772">
        <v>1</v>
      </c>
      <c r="AB21" s="2772">
        <v>1</v>
      </c>
      <c r="AC21" s="2772">
        <v>1</v>
      </c>
    </row>
    <row r="22" spans="1:29" ht="15">
      <c r="A22" s="2730"/>
      <c r="B22" s="3486" t="s">
        <v>2289</v>
      </c>
      <c r="C22" s="2574"/>
      <c r="D22" s="2564">
        <v>100</v>
      </c>
      <c r="E22" s="2574"/>
      <c r="F22" s="2811">
        <f>SUMIF(71:71,E22,72:72)-SUMIF(71:71,C22,72:72)+100</f>
        <v>100</v>
      </c>
      <c r="G22" s="2574"/>
      <c r="H22" s="2551">
        <f>SUMIF(71:71,G22,72:72)-SUMIF(71:71,C22,72:72)+100</f>
        <v>100</v>
      </c>
      <c r="I22" s="2574"/>
      <c r="J22" s="2551">
        <f>SUMIF(71:71,I22,72:72)-SUMIF(71:71,C22,72:72)+100</f>
        <v>100</v>
      </c>
      <c r="K22" s="2580"/>
      <c r="L22" s="2763"/>
      <c r="M22" s="2727"/>
      <c r="N22" s="2727"/>
      <c r="O22" s="2727"/>
      <c r="P22" s="3898"/>
      <c r="Q22" s="2624" t="str">
        <f>B22</f>
        <v>楼层</v>
      </c>
      <c r="R22" s="2609" t="s">
        <v>17</v>
      </c>
      <c r="S22" s="2598">
        <f>F22</f>
        <v>100</v>
      </c>
      <c r="T22" s="2609" t="s">
        <v>17</v>
      </c>
      <c r="U22" s="2598">
        <f>H22</f>
        <v>100</v>
      </c>
      <c r="V22" s="2609" t="s">
        <v>17</v>
      </c>
      <c r="W22" s="2598">
        <f>J22</f>
        <v>100</v>
      </c>
      <c r="X22" s="2734"/>
      <c r="Y22" s="3898"/>
      <c r="Z22" s="2772" t="str">
        <f>Q22</f>
        <v>楼层</v>
      </c>
      <c r="AA22" s="2772">
        <f t="shared" si="3"/>
        <v>1</v>
      </c>
      <c r="AB22" s="2772">
        <f t="shared" si="4"/>
        <v>1</v>
      </c>
      <c r="AC22" s="2772">
        <f t="shared" si="5"/>
        <v>1</v>
      </c>
    </row>
    <row r="23" spans="1:29" ht="15">
      <c r="A23" s="2730"/>
      <c r="B23" s="2836">
        <v>111</v>
      </c>
      <c r="C23" s="2541"/>
      <c r="D23" s="2551">
        <v>100</v>
      </c>
      <c r="E23" s="2541"/>
      <c r="F23" s="2811">
        <f>SUMIF(73:73,E23,74:74)-SUMIF(73:73,C23,74:74)+100</f>
        <v>100</v>
      </c>
      <c r="G23" s="2541"/>
      <c r="H23" s="2551">
        <f>SUMIF(73:73,G23,74:74)-SUMIF(73:73,C23,74:74)+100</f>
        <v>100</v>
      </c>
      <c r="I23" s="2541"/>
      <c r="J23" s="2551">
        <f>SUMIF(73:73,I23,74:74)-SUMIF(73:73,C23,74:74)+100</f>
        <v>100</v>
      </c>
      <c r="K23" s="2579"/>
      <c r="L23" s="2763"/>
      <c r="M23" s="2727"/>
      <c r="N23" s="2727"/>
      <c r="O23" s="2727"/>
      <c r="P23" s="3898"/>
      <c r="Q23" s="2624">
        <f>B23</f>
        <v>111</v>
      </c>
      <c r="R23" s="2609" t="s">
        <v>17</v>
      </c>
      <c r="S23" s="2598">
        <f>F23</f>
        <v>100</v>
      </c>
      <c r="T23" s="2609" t="s">
        <v>17</v>
      </c>
      <c r="U23" s="2598">
        <f>H23</f>
        <v>100</v>
      </c>
      <c r="V23" s="2609" t="s">
        <v>17</v>
      </c>
      <c r="W23" s="2598">
        <f>J23</f>
        <v>100</v>
      </c>
      <c r="X23" s="2734"/>
      <c r="Y23" s="3898"/>
      <c r="Z23" s="2772">
        <f>Q23</f>
        <v>111</v>
      </c>
      <c r="AA23" s="2772">
        <f t="shared" si="3"/>
        <v>1</v>
      </c>
      <c r="AB23" s="2772">
        <f t="shared" si="4"/>
        <v>1</v>
      </c>
      <c r="AC23" s="2772">
        <f t="shared" si="5"/>
        <v>1</v>
      </c>
    </row>
    <row r="24" spans="1:29" ht="15">
      <c r="A24" s="2730"/>
      <c r="B24" s="2836">
        <v>111</v>
      </c>
      <c r="C24" s="2541"/>
      <c r="D24" s="2551">
        <v>100</v>
      </c>
      <c r="E24" s="2541"/>
      <c r="F24" s="2811">
        <f>SUMIF(75:75,E24,76:76)-SUMIF(75:75,C24,76:76)+100</f>
        <v>100</v>
      </c>
      <c r="G24" s="2541"/>
      <c r="H24" s="2551">
        <f>SUMIF(75:75,G24,76:76)-SUMIF(75:75,C24,76:76)+100</f>
        <v>100</v>
      </c>
      <c r="I24" s="2541"/>
      <c r="J24" s="2551">
        <f>SUMIF(75:75,I24,76:76)-SUMIF(75:75,C24,76:76)+100</f>
        <v>100</v>
      </c>
      <c r="K24" s="2579"/>
      <c r="L24" s="2763"/>
      <c r="M24" s="2727"/>
      <c r="N24" s="2727"/>
      <c r="O24" s="2727"/>
      <c r="P24" s="3898"/>
      <c r="Q24" s="2624">
        <f t="shared" ref="Q24:Q36" si="11">B24</f>
        <v>111</v>
      </c>
      <c r="R24" s="2609" t="s">
        <v>17</v>
      </c>
      <c r="S24" s="2598">
        <f>F24</f>
        <v>100</v>
      </c>
      <c r="T24" s="2609" t="s">
        <v>17</v>
      </c>
      <c r="U24" s="2598">
        <f>H24</f>
        <v>100</v>
      </c>
      <c r="V24" s="2609" t="s">
        <v>17</v>
      </c>
      <c r="W24" s="2598">
        <f>J24</f>
        <v>100</v>
      </c>
      <c r="X24" s="2734"/>
      <c r="Y24" s="3898"/>
      <c r="Z24" s="2772">
        <f>Q24</f>
        <v>111</v>
      </c>
      <c r="AA24" s="2772">
        <f t="shared" si="3"/>
        <v>1</v>
      </c>
      <c r="AB24" s="2772">
        <f t="shared" si="4"/>
        <v>1</v>
      </c>
      <c r="AC24" s="2772">
        <f t="shared" si="5"/>
        <v>1</v>
      </c>
    </row>
    <row r="25" spans="1:29" s="2746" customFormat="1" ht="15.6" thickBot="1">
      <c r="A25" s="2822"/>
      <c r="B25" s="3487">
        <v>111</v>
      </c>
      <c r="C25" s="2552"/>
      <c r="D25" s="3488">
        <v>100</v>
      </c>
      <c r="E25" s="3489"/>
      <c r="F25" s="3490">
        <f>SUMIF(77:77,E25,78:78)-SUMIF(77:77,C25,78:78)+100</f>
        <v>100</v>
      </c>
      <c r="G25" s="3489"/>
      <c r="H25" s="3488">
        <f>SUMIF(77:77,G25,78:78)-SUMIF(77:77,C25,78:78)+100</f>
        <v>100</v>
      </c>
      <c r="I25" s="3489"/>
      <c r="J25" s="3488">
        <f>SUMIF(77:77,I25,78:78)-SUMIF(77:77,C25,78:78)+100</f>
        <v>100</v>
      </c>
      <c r="K25" s="2579"/>
      <c r="L25" s="2739"/>
      <c r="M25" s="2740"/>
      <c r="N25" s="2740"/>
      <c r="O25" s="2740"/>
      <c r="P25" s="3898"/>
      <c r="Q25" s="2750">
        <f t="shared" si="11"/>
        <v>111</v>
      </c>
      <c r="R25" s="2741" t="s">
        <v>17</v>
      </c>
      <c r="S25" s="2744">
        <f>F25</f>
        <v>100</v>
      </c>
      <c r="T25" s="2741" t="s">
        <v>17</v>
      </c>
      <c r="U25" s="2744">
        <f>H25</f>
        <v>100</v>
      </c>
      <c r="V25" s="2741" t="s">
        <v>17</v>
      </c>
      <c r="W25" s="2744">
        <f>J25</f>
        <v>100</v>
      </c>
      <c r="X25" s="2743"/>
      <c r="Y25" s="3898"/>
      <c r="Z25" s="2745">
        <f>Q25</f>
        <v>111</v>
      </c>
      <c r="AA25" s="2772">
        <f>D25/F25</f>
        <v>1</v>
      </c>
      <c r="AB25" s="2772">
        <f>D25/H25</f>
        <v>1</v>
      </c>
      <c r="AC25" s="2772">
        <f>D25/J25</f>
        <v>1</v>
      </c>
    </row>
    <row r="26" spans="1:29" ht="30">
      <c r="A26" s="3491" t="s">
        <v>2141</v>
      </c>
      <c r="B26" s="2540" t="s">
        <v>2290</v>
      </c>
      <c r="C26" s="3492" t="str">
        <f>B1</f>
        <v>车库</v>
      </c>
      <c r="D26" s="2562">
        <v>100</v>
      </c>
      <c r="E26" s="2561" t="s">
        <v>3182</v>
      </c>
      <c r="F26" s="2736">
        <f>SUMIF(79:79,E26,80:80)-SUMIF(79:79,C26,80:80)+100</f>
        <v>100</v>
      </c>
      <c r="G26" s="2561" t="s">
        <v>3182</v>
      </c>
      <c r="H26" s="2562">
        <f>SUMIF(79:79,G26,80:80)-SUMIF(79:79,C26,80:80)+100</f>
        <v>100</v>
      </c>
      <c r="I26" s="2561" t="s">
        <v>3182</v>
      </c>
      <c r="J26" s="2562">
        <f>SUMIF(79:79,I26,80:80)-SUMIF(79:79,C26,80:80)+100</f>
        <v>100</v>
      </c>
      <c r="K26" s="2580">
        <v>1</v>
      </c>
      <c r="L26" s="2763"/>
      <c r="M26" s="2727"/>
      <c r="N26" s="2727"/>
      <c r="O26" s="2727"/>
      <c r="P26" s="3943" t="s">
        <v>2143</v>
      </c>
      <c r="Q26" s="2624" t="str">
        <f t="shared" si="11"/>
        <v>配套类型</v>
      </c>
      <c r="R26" s="2609" t="s">
        <v>17</v>
      </c>
      <c r="S26" s="2598">
        <f t="shared" ref="S26:S36" si="12">F26</f>
        <v>100</v>
      </c>
      <c r="T26" s="2609" t="s">
        <v>17</v>
      </c>
      <c r="U26" s="2598">
        <f t="shared" ref="U26:U36" si="13">H26</f>
        <v>100</v>
      </c>
      <c r="V26" s="2609" t="s">
        <v>17</v>
      </c>
      <c r="W26" s="2598">
        <f t="shared" ref="W26:W36" si="14">J26</f>
        <v>100</v>
      </c>
      <c r="X26" s="2734"/>
      <c r="Y26" s="3902" t="s">
        <v>2143</v>
      </c>
      <c r="Z26" s="2772" t="str">
        <f t="shared" ref="Z26:Z36" si="15">Q26</f>
        <v>配套类型</v>
      </c>
      <c r="AA26" s="2772">
        <f t="shared" si="3"/>
        <v>1</v>
      </c>
      <c r="AB26" s="2772">
        <f t="shared" si="4"/>
        <v>1</v>
      </c>
      <c r="AC26" s="2772">
        <f t="shared" si="5"/>
        <v>1</v>
      </c>
    </row>
    <row r="27" spans="1:29" s="2795" customFormat="1" ht="15">
      <c r="A27" s="3493"/>
      <c r="B27" s="2542" t="s">
        <v>2291</v>
      </c>
      <c r="C27" s="2788"/>
      <c r="D27" s="2542">
        <v>100</v>
      </c>
      <c r="E27" s="2788"/>
      <c r="F27" s="2811">
        <f>SUMIF(81:81,E27,82:82)-SUMIF(81:81,C27,82:82)+100</f>
        <v>100</v>
      </c>
      <c r="G27" s="2788"/>
      <c r="H27" s="2551">
        <f>SUMIF(81:81,G27,82:82)-SUMIF(81:81,C27,82:82)+100</f>
        <v>100</v>
      </c>
      <c r="I27" s="2788"/>
      <c r="J27" s="2551">
        <f>SUMIF(81:81,I27,82:82)-SUMIF(81:81,C27,82:82)+100</f>
        <v>100</v>
      </c>
      <c r="K27" s="2579"/>
      <c r="L27" s="2759"/>
      <c r="M27" s="2789"/>
      <c r="N27" s="2789"/>
      <c r="O27" s="2789"/>
      <c r="P27" s="3902"/>
      <c r="Q27" s="2790" t="str">
        <f t="shared" si="11"/>
        <v>项目停车位配比</v>
      </c>
      <c r="R27" s="2791" t="s">
        <v>17</v>
      </c>
      <c r="S27" s="2792">
        <f t="shared" si="12"/>
        <v>100</v>
      </c>
      <c r="T27" s="2791" t="s">
        <v>17</v>
      </c>
      <c r="U27" s="2792">
        <f t="shared" si="13"/>
        <v>100</v>
      </c>
      <c r="V27" s="2791" t="s">
        <v>17</v>
      </c>
      <c r="W27" s="2792">
        <f t="shared" si="14"/>
        <v>100</v>
      </c>
      <c r="X27" s="2793"/>
      <c r="Y27" s="3902"/>
      <c r="Z27" s="2794" t="str">
        <f t="shared" si="15"/>
        <v>项目停车位配比</v>
      </c>
      <c r="AA27" s="2772">
        <f t="shared" si="3"/>
        <v>1</v>
      </c>
      <c r="AB27" s="2772">
        <f t="shared" si="4"/>
        <v>1</v>
      </c>
      <c r="AC27" s="2772">
        <f t="shared" si="5"/>
        <v>1</v>
      </c>
    </row>
    <row r="28" spans="1:29" ht="15">
      <c r="A28" s="3494"/>
      <c r="B28" s="2542" t="s">
        <v>2292</v>
      </c>
      <c r="C28" s="2587" t="s">
        <v>3548</v>
      </c>
      <c r="D28" s="2551">
        <v>100</v>
      </c>
      <c r="E28" s="2587" t="s">
        <v>3548</v>
      </c>
      <c r="F28" s="2811">
        <f>SUMIF(83:83,E28,84:84)-SUMIF(83:83,C28,84:84)+100</f>
        <v>100</v>
      </c>
      <c r="G28" s="2587" t="s">
        <v>3548</v>
      </c>
      <c r="H28" s="2551">
        <f>SUMIF(83:83,G28,84:84)-SUMIF(83:83,C28,84:84)+100</f>
        <v>100</v>
      </c>
      <c r="I28" s="2587" t="s">
        <v>3548</v>
      </c>
      <c r="J28" s="2551">
        <f>SUMIF(83:83,I28,84:84)-SUMIF(83:83,C28,84:84)+100</f>
        <v>100</v>
      </c>
      <c r="K28" s="2580">
        <v>1</v>
      </c>
      <c r="L28" s="2763"/>
      <c r="M28" s="2727"/>
      <c r="N28" s="2727"/>
      <c r="O28" s="2727"/>
      <c r="P28" s="3902"/>
      <c r="Q28" s="2624" t="str">
        <f t="shared" si="11"/>
        <v>公共部分装修</v>
      </c>
      <c r="R28" s="2609" t="s">
        <v>17</v>
      </c>
      <c r="S28" s="2598">
        <f t="shared" si="12"/>
        <v>100</v>
      </c>
      <c r="T28" s="2609" t="s">
        <v>17</v>
      </c>
      <c r="U28" s="2598">
        <f t="shared" si="13"/>
        <v>100</v>
      </c>
      <c r="V28" s="2609" t="s">
        <v>17</v>
      </c>
      <c r="W28" s="2598">
        <f t="shared" si="14"/>
        <v>100</v>
      </c>
      <c r="X28" s="2734"/>
      <c r="Y28" s="3902"/>
      <c r="Z28" s="2772" t="str">
        <f t="shared" si="15"/>
        <v>公共部分装修</v>
      </c>
      <c r="AA28" s="2772">
        <f t="shared" si="3"/>
        <v>1</v>
      </c>
      <c r="AB28" s="2772">
        <f t="shared" si="4"/>
        <v>1</v>
      </c>
      <c r="AC28" s="2772">
        <f t="shared" si="5"/>
        <v>1</v>
      </c>
    </row>
    <row r="29" spans="1:29" ht="15">
      <c r="A29" s="3494"/>
      <c r="B29" s="2542" t="s">
        <v>2293</v>
      </c>
      <c r="C29" s="2788">
        <v>1</v>
      </c>
      <c r="D29" s="2551">
        <v>100</v>
      </c>
      <c r="E29" s="2788">
        <v>1</v>
      </c>
      <c r="F29" s="2811">
        <f>LOOKUP(E29,86:86,87:87)-LOOKUP(C29,86:86,87:87)+100</f>
        <v>100</v>
      </c>
      <c r="G29" s="2788">
        <v>1</v>
      </c>
      <c r="H29" s="2811">
        <f>LOOKUP(G29,86:86,87:87)-LOOKUP(C29,86:86,87:87)+100</f>
        <v>100</v>
      </c>
      <c r="I29" s="2788">
        <v>1</v>
      </c>
      <c r="J29" s="2551">
        <f>LOOKUP(I29,86:86,87:87)-LOOKUP(C29,86:86,87:87)+100</f>
        <v>100</v>
      </c>
      <c r="K29" s="2580">
        <v>1</v>
      </c>
      <c r="L29" s="2763"/>
      <c r="M29" s="2727"/>
      <c r="N29" s="2727"/>
      <c r="O29" s="2727"/>
      <c r="P29" s="3902"/>
      <c r="Q29" s="2624" t="str">
        <f t="shared" si="11"/>
        <v>成新率</v>
      </c>
      <c r="R29" s="2609" t="s">
        <v>17</v>
      </c>
      <c r="S29" s="2598">
        <f t="shared" si="12"/>
        <v>100</v>
      </c>
      <c r="T29" s="2609" t="s">
        <v>17</v>
      </c>
      <c r="U29" s="2598">
        <f t="shared" si="13"/>
        <v>100</v>
      </c>
      <c r="V29" s="2609" t="s">
        <v>17</v>
      </c>
      <c r="W29" s="2598">
        <f t="shared" si="14"/>
        <v>100</v>
      </c>
      <c r="X29" s="2734"/>
      <c r="Y29" s="3902"/>
      <c r="Z29" s="2772" t="str">
        <f t="shared" si="15"/>
        <v>成新率</v>
      </c>
      <c r="AA29" s="2772">
        <f t="shared" si="3"/>
        <v>1</v>
      </c>
      <c r="AB29" s="2772">
        <f t="shared" si="4"/>
        <v>1</v>
      </c>
      <c r="AC29" s="2772">
        <f t="shared" si="5"/>
        <v>1</v>
      </c>
    </row>
    <row r="30" spans="1:29" ht="15">
      <c r="A30" s="3494"/>
      <c r="B30" s="2542" t="s">
        <v>2294</v>
      </c>
      <c r="C30" s="2588" t="s">
        <v>3549</v>
      </c>
      <c r="D30" s="2551">
        <v>100</v>
      </c>
      <c r="E30" s="2588" t="s">
        <v>3549</v>
      </c>
      <c r="F30" s="2811">
        <f>SUMIF(88:88,E30,89:89)-SUMIF(88:88,C30,89:89)+100</f>
        <v>100</v>
      </c>
      <c r="G30" s="2588" t="s">
        <v>3549</v>
      </c>
      <c r="H30" s="2551">
        <f>SUMIF(88:88,E30,89:89)-SUMIF(88:88,C30,89:89)+100</f>
        <v>100</v>
      </c>
      <c r="I30" s="2588" t="s">
        <v>3549</v>
      </c>
      <c r="J30" s="2551">
        <f>SUMIF(88:88,E30,89:89)-SUMIF(88:88,C30,89:89)+100</f>
        <v>100</v>
      </c>
      <c r="K30" s="2580">
        <v>1</v>
      </c>
      <c r="L30" s="2763"/>
      <c r="M30" s="2727"/>
      <c r="N30" s="2727"/>
      <c r="O30" s="2727"/>
      <c r="P30" s="3902"/>
      <c r="Q30" s="2624" t="str">
        <f t="shared" si="11"/>
        <v>物业等级</v>
      </c>
      <c r="R30" s="2609" t="s">
        <v>17</v>
      </c>
      <c r="S30" s="2598">
        <f t="shared" si="12"/>
        <v>100</v>
      </c>
      <c r="T30" s="2609" t="s">
        <v>17</v>
      </c>
      <c r="U30" s="2598">
        <f t="shared" si="13"/>
        <v>100</v>
      </c>
      <c r="V30" s="2609" t="s">
        <v>17</v>
      </c>
      <c r="W30" s="2598">
        <f t="shared" si="14"/>
        <v>100</v>
      </c>
      <c r="X30" s="2734"/>
      <c r="Y30" s="3902"/>
      <c r="Z30" s="2772" t="str">
        <f t="shared" si="15"/>
        <v>物业等级</v>
      </c>
      <c r="AA30" s="2772">
        <f t="shared" si="3"/>
        <v>1</v>
      </c>
      <c r="AB30" s="2772">
        <f t="shared" si="4"/>
        <v>1</v>
      </c>
      <c r="AC30" s="2772">
        <f t="shared" si="5"/>
        <v>1</v>
      </c>
    </row>
    <row r="31" spans="1:29" s="2746" customFormat="1" ht="15">
      <c r="A31" s="3495"/>
      <c r="B31" s="2542" t="s">
        <v>2295</v>
      </c>
      <c r="C31" s="2788">
        <v>36.840000000000003</v>
      </c>
      <c r="D31" s="2542">
        <v>100</v>
      </c>
      <c r="E31" s="2788">
        <v>29.42</v>
      </c>
      <c r="F31" s="2811">
        <f>LOOKUP(E31,91:91,92:92)-LOOKUP(C31,91:91,92:92)+100</f>
        <v>98</v>
      </c>
      <c r="G31" s="2788">
        <v>28.8</v>
      </c>
      <c r="H31" s="2551">
        <f>LOOKUP(G31,91:91,92:92)-LOOKUP(C31,91:91,92:92)+100</f>
        <v>98</v>
      </c>
      <c r="I31" s="2788">
        <v>29</v>
      </c>
      <c r="J31" s="2551">
        <f>LOOKUP(I31,91:91,92:92)-LOOKUP(C31,91:91,92:92)+100</f>
        <v>98</v>
      </c>
      <c r="K31" s="2580">
        <v>2</v>
      </c>
      <c r="L31" s="2739"/>
      <c r="M31" s="2740"/>
      <c r="N31" s="2740"/>
      <c r="O31" s="2740"/>
      <c r="P31" s="3902"/>
      <c r="Q31" s="2750" t="str">
        <f t="shared" si="11"/>
        <v>停车位面积</v>
      </c>
      <c r="R31" s="2741" t="s">
        <v>17</v>
      </c>
      <c r="S31" s="2744">
        <f t="shared" si="12"/>
        <v>98</v>
      </c>
      <c r="T31" s="2741" t="s">
        <v>17</v>
      </c>
      <c r="U31" s="2744">
        <f t="shared" si="13"/>
        <v>98</v>
      </c>
      <c r="V31" s="2741" t="s">
        <v>17</v>
      </c>
      <c r="W31" s="2744">
        <f t="shared" si="14"/>
        <v>98</v>
      </c>
      <c r="X31" s="2743"/>
      <c r="Y31" s="3902"/>
      <c r="Z31" s="2745" t="str">
        <f t="shared" si="15"/>
        <v>停车位面积</v>
      </c>
      <c r="AA31" s="2745">
        <f t="shared" si="3"/>
        <v>1.0204081632653061</v>
      </c>
      <c r="AB31" s="2745">
        <f t="shared" si="4"/>
        <v>1.0204081632653061</v>
      </c>
      <c r="AC31" s="2745">
        <f t="shared" si="5"/>
        <v>1.0204081632653061</v>
      </c>
    </row>
    <row r="32" spans="1:29" ht="15">
      <c r="A32" s="3494"/>
      <c r="B32" s="2542" t="s">
        <v>2296</v>
      </c>
      <c r="C32" s="2587" t="s">
        <v>3565</v>
      </c>
      <c r="D32" s="2551">
        <v>100</v>
      </c>
      <c r="E32" s="2587" t="s">
        <v>3565</v>
      </c>
      <c r="F32" s="2811">
        <f>SUMIF(93:93,E32,94:94)-SUMIF(93:93,C32,94:94)+100</f>
        <v>100</v>
      </c>
      <c r="G32" s="2587" t="s">
        <v>3565</v>
      </c>
      <c r="H32" s="2551">
        <f>SUMIF(93:93,G32,94:94)-SUMIF(93:93,C32,94:94)+100</f>
        <v>100</v>
      </c>
      <c r="I32" s="2587" t="s">
        <v>3565</v>
      </c>
      <c r="J32" s="2551">
        <f>SUMIF(93:93,I32,94:94)-SUMIF(93:93,C32,94:94)+100</f>
        <v>100</v>
      </c>
      <c r="K32" s="2580">
        <v>1</v>
      </c>
      <c r="L32" s="2763"/>
      <c r="M32" s="2727"/>
      <c r="N32" s="2727"/>
      <c r="O32" s="2727"/>
      <c r="P32" s="3902" t="s">
        <v>2143</v>
      </c>
      <c r="Q32" s="2624" t="str">
        <f t="shared" si="11"/>
        <v>车位类型</v>
      </c>
      <c r="R32" s="2609" t="s">
        <v>17</v>
      </c>
      <c r="S32" s="2598">
        <f t="shared" si="12"/>
        <v>100</v>
      </c>
      <c r="T32" s="2609" t="s">
        <v>17</v>
      </c>
      <c r="U32" s="2598">
        <f t="shared" si="13"/>
        <v>100</v>
      </c>
      <c r="V32" s="2609" t="s">
        <v>17</v>
      </c>
      <c r="W32" s="2598">
        <f t="shared" si="14"/>
        <v>100</v>
      </c>
      <c r="X32" s="2734"/>
      <c r="Y32" s="3902" t="s">
        <v>2143</v>
      </c>
      <c r="Z32" s="2772" t="str">
        <f t="shared" si="15"/>
        <v>车位类型</v>
      </c>
      <c r="AA32" s="2772">
        <f t="shared" si="3"/>
        <v>1</v>
      </c>
      <c r="AB32" s="2772">
        <f t="shared" si="4"/>
        <v>1</v>
      </c>
      <c r="AC32" s="2772">
        <f t="shared" si="5"/>
        <v>1</v>
      </c>
    </row>
    <row r="33" spans="1:29" ht="15">
      <c r="A33" s="3494"/>
      <c r="B33" s="2542" t="s">
        <v>2297</v>
      </c>
      <c r="C33" s="2587" t="s">
        <v>3176</v>
      </c>
      <c r="D33" s="2551">
        <v>100</v>
      </c>
      <c r="E33" s="2587" t="s">
        <v>3176</v>
      </c>
      <c r="F33" s="2811">
        <f>SUMIF(95:95,E33,96:96)-SUMIF(95:95,C33,96:96)+100</f>
        <v>100</v>
      </c>
      <c r="G33" s="2587" t="s">
        <v>3176</v>
      </c>
      <c r="H33" s="2551">
        <f>SUMIF(95:95,G33,96:96)-SUMIF(95:95,C33,96:96)+100</f>
        <v>100</v>
      </c>
      <c r="I33" s="2587" t="s">
        <v>3176</v>
      </c>
      <c r="J33" s="2551">
        <f>SUMIF(95:95,I33,96:96)-SUMIF(95:95,C33,96:96)+100</f>
        <v>100</v>
      </c>
      <c r="K33" s="2580">
        <v>1</v>
      </c>
      <c r="L33" s="2763"/>
      <c r="M33" s="2727"/>
      <c r="N33" s="2727"/>
      <c r="O33" s="2727"/>
      <c r="P33" s="3902"/>
      <c r="Q33" s="2624" t="str">
        <f t="shared" si="11"/>
        <v>是否直接入户</v>
      </c>
      <c r="R33" s="2609" t="s">
        <v>17</v>
      </c>
      <c r="S33" s="2598">
        <f t="shared" si="12"/>
        <v>100</v>
      </c>
      <c r="T33" s="2609" t="s">
        <v>17</v>
      </c>
      <c r="U33" s="2598">
        <f t="shared" si="13"/>
        <v>100</v>
      </c>
      <c r="V33" s="2609" t="s">
        <v>17</v>
      </c>
      <c r="W33" s="2598">
        <f t="shared" si="14"/>
        <v>100</v>
      </c>
      <c r="X33" s="2734"/>
      <c r="Y33" s="3902"/>
      <c r="Z33" s="2772" t="str">
        <f t="shared" si="15"/>
        <v>是否直接入户</v>
      </c>
      <c r="AA33" s="2772">
        <f t="shared" si="3"/>
        <v>1</v>
      </c>
      <c r="AB33" s="2772">
        <f t="shared" si="4"/>
        <v>1</v>
      </c>
      <c r="AC33" s="2772">
        <f t="shared" si="5"/>
        <v>1</v>
      </c>
    </row>
    <row r="34" spans="1:29" ht="15">
      <c r="A34" s="3494"/>
      <c r="B34" s="2836">
        <v>111</v>
      </c>
      <c r="C34" s="2541"/>
      <c r="D34" s="2551">
        <v>100</v>
      </c>
      <c r="E34" s="2541"/>
      <c r="F34" s="2811">
        <f>SUMIF(97:97,E34,98:98)-SUMIF(97:97,C34,98:98)+100</f>
        <v>100</v>
      </c>
      <c r="G34" s="2541"/>
      <c r="H34" s="2551">
        <f>SUMIF(97:97,G34,98:98)-SUMIF(97:97,C34,98:98)+100</f>
        <v>100</v>
      </c>
      <c r="I34" s="2541"/>
      <c r="J34" s="2551">
        <f>SUMIF(97:97,I34,98:98)-SUMIF(97:97,C34,98:98)+100</f>
        <v>100</v>
      </c>
      <c r="K34" s="2579"/>
      <c r="L34" s="2763"/>
      <c r="M34" s="2727"/>
      <c r="N34" s="2727"/>
      <c r="O34" s="2727"/>
      <c r="P34" s="3902"/>
      <c r="Q34" s="2624">
        <f t="shared" si="11"/>
        <v>111</v>
      </c>
      <c r="R34" s="2609" t="s">
        <v>17</v>
      </c>
      <c r="S34" s="2598">
        <f t="shared" si="12"/>
        <v>100</v>
      </c>
      <c r="T34" s="2609" t="s">
        <v>17</v>
      </c>
      <c r="U34" s="2598">
        <f t="shared" si="13"/>
        <v>100</v>
      </c>
      <c r="V34" s="2609" t="s">
        <v>17</v>
      </c>
      <c r="W34" s="2598">
        <f t="shared" si="14"/>
        <v>100</v>
      </c>
      <c r="X34" s="2734"/>
      <c r="Y34" s="3902"/>
      <c r="Z34" s="2772">
        <f t="shared" si="15"/>
        <v>111</v>
      </c>
      <c r="AA34" s="2772">
        <f t="shared" si="3"/>
        <v>1</v>
      </c>
      <c r="AB34" s="2772">
        <f t="shared" si="4"/>
        <v>1</v>
      </c>
      <c r="AC34" s="2772">
        <f t="shared" si="5"/>
        <v>1</v>
      </c>
    </row>
    <row r="35" spans="1:29" s="2795" customFormat="1" ht="15">
      <c r="A35" s="3493"/>
      <c r="B35" s="2836">
        <v>111</v>
      </c>
      <c r="C35" s="2541"/>
      <c r="D35" s="2551">
        <v>100</v>
      </c>
      <c r="E35" s="2541"/>
      <c r="F35" s="2811">
        <f>SUMIF(99:99,E35,100:100)-SUMIF(99:99,C35,100:100)+100</f>
        <v>100</v>
      </c>
      <c r="G35" s="2541"/>
      <c r="H35" s="2551">
        <f>SUMIF(99:99,G35,100:100)-SUMIF(99:99,C35,100:100)+100</f>
        <v>100</v>
      </c>
      <c r="I35" s="2541"/>
      <c r="J35" s="2551">
        <f>SUMIF(99:99,I35,100:100)-SUMIF(99:99,C35,100:100)+100</f>
        <v>100</v>
      </c>
      <c r="K35" s="2579"/>
      <c r="L35" s="2759"/>
      <c r="M35" s="2789"/>
      <c r="N35" s="2789"/>
      <c r="O35" s="2789"/>
      <c r="P35" s="3902"/>
      <c r="Q35" s="2790">
        <f t="shared" si="11"/>
        <v>111</v>
      </c>
      <c r="R35" s="2791" t="s">
        <v>17</v>
      </c>
      <c r="S35" s="2792">
        <f t="shared" si="12"/>
        <v>100</v>
      </c>
      <c r="T35" s="2791" t="s">
        <v>17</v>
      </c>
      <c r="U35" s="2792">
        <f t="shared" si="13"/>
        <v>100</v>
      </c>
      <c r="V35" s="2791" t="s">
        <v>17</v>
      </c>
      <c r="W35" s="2792">
        <f t="shared" si="14"/>
        <v>100</v>
      </c>
      <c r="X35" s="2793"/>
      <c r="Y35" s="3902"/>
      <c r="Z35" s="2794">
        <f t="shared" si="15"/>
        <v>111</v>
      </c>
      <c r="AA35" s="2772">
        <f t="shared" si="3"/>
        <v>1</v>
      </c>
      <c r="AB35" s="2772">
        <f t="shared" si="4"/>
        <v>1</v>
      </c>
      <c r="AC35" s="2772">
        <f t="shared" si="5"/>
        <v>1</v>
      </c>
    </row>
    <row r="36" spans="1:29" ht="15.6" thickBot="1">
      <c r="A36" s="3496"/>
      <c r="B36" s="3487">
        <v>111</v>
      </c>
      <c r="C36" s="2550"/>
      <c r="D36" s="2551">
        <v>100</v>
      </c>
      <c r="E36" s="2541"/>
      <c r="F36" s="2811">
        <f>SUMIF(101:101,E36,102:102)-SUMIF(101:101,C36,102:102)+100</f>
        <v>100</v>
      </c>
      <c r="G36" s="2541"/>
      <c r="H36" s="2551">
        <f>SUMIF(101:101,G36,102:102)-SUMIF(101:101,C36,102:102)+100</f>
        <v>100</v>
      </c>
      <c r="I36" s="2541"/>
      <c r="J36" s="2551">
        <f>SUMIF(101:101,I36,102:102)-SUMIF(101:101,C36,102:102)+100</f>
        <v>100</v>
      </c>
      <c r="K36" s="2579"/>
      <c r="L36" s="2763"/>
      <c r="M36" s="2727"/>
      <c r="N36" s="2727"/>
      <c r="O36" s="2727"/>
      <c r="P36" s="3902"/>
      <c r="Q36" s="2624">
        <f t="shared" si="11"/>
        <v>111</v>
      </c>
      <c r="R36" s="2609" t="s">
        <v>17</v>
      </c>
      <c r="S36" s="2598">
        <f t="shared" si="12"/>
        <v>100</v>
      </c>
      <c r="T36" s="2609" t="s">
        <v>17</v>
      </c>
      <c r="U36" s="2598">
        <f t="shared" si="13"/>
        <v>100</v>
      </c>
      <c r="V36" s="2609" t="s">
        <v>17</v>
      </c>
      <c r="W36" s="2598">
        <f t="shared" si="14"/>
        <v>100</v>
      </c>
      <c r="X36" s="2734"/>
      <c r="Y36" s="3902"/>
      <c r="Z36" s="2772">
        <f t="shared" si="15"/>
        <v>111</v>
      </c>
      <c r="AA36" s="2772">
        <f t="shared" si="3"/>
        <v>1</v>
      </c>
      <c r="AB36" s="2772">
        <f t="shared" si="4"/>
        <v>1</v>
      </c>
      <c r="AC36" s="2772">
        <f t="shared" si="5"/>
        <v>1</v>
      </c>
    </row>
    <row r="37" spans="1:29" ht="14.4">
      <c r="A37" s="2799" t="s">
        <v>2298</v>
      </c>
      <c r="B37" s="3497" t="s">
        <v>2299</v>
      </c>
      <c r="C37" s="2801" t="s">
        <v>1</v>
      </c>
      <c r="D37" s="2593"/>
      <c r="E37" s="2594">
        <v>400000</v>
      </c>
      <c r="F37" s="2595"/>
      <c r="G37" s="2596">
        <v>344560</v>
      </c>
      <c r="H37" s="2597"/>
      <c r="I37" s="2594">
        <v>404286</v>
      </c>
      <c r="J37" s="2597"/>
      <c r="K37" s="3498"/>
      <c r="L37" s="2803"/>
      <c r="M37" s="2606"/>
      <c r="N37" s="2727"/>
      <c r="O37" s="2606"/>
      <c r="P37" s="3845" t="str">
        <f>A37</f>
        <v>成交单价</v>
      </c>
      <c r="Q37" s="3845"/>
      <c r="R37" s="3838">
        <f>E37</f>
        <v>400000</v>
      </c>
      <c r="S37" s="3838"/>
      <c r="T37" s="3838">
        <f>G37</f>
        <v>344560</v>
      </c>
      <c r="U37" s="3838"/>
      <c r="V37" s="3838">
        <f>I37</f>
        <v>404286</v>
      </c>
      <c r="W37" s="3838"/>
      <c r="X37" s="2613"/>
      <c r="Y37" s="2804"/>
      <c r="Z37" s="2613"/>
      <c r="AA37" s="2613"/>
      <c r="AB37" s="2613"/>
      <c r="AC37" s="2613"/>
    </row>
    <row r="38" spans="1:29" ht="15" thickBot="1">
      <c r="A38" s="2805" t="s">
        <v>2300</v>
      </c>
      <c r="B38" s="2806" t="str">
        <f>B37</f>
        <v>元/车位</v>
      </c>
      <c r="C38" s="2602">
        <f>R39</f>
        <v>390764</v>
      </c>
      <c r="D38" s="2600" t="s">
        <v>2637</v>
      </c>
      <c r="E38" s="2599">
        <f>R38</f>
        <v>408163</v>
      </c>
      <c r="F38" s="2601"/>
      <c r="G38" s="2602">
        <f>T38</f>
        <v>351592</v>
      </c>
      <c r="H38" s="2601"/>
      <c r="I38" s="2599">
        <f>V38</f>
        <v>412537</v>
      </c>
      <c r="J38" s="2601"/>
      <c r="K38" s="2603">
        <f>F38+H38+J38</f>
        <v>0</v>
      </c>
      <c r="L38" s="2803"/>
      <c r="M38" s="2606"/>
      <c r="N38" s="2606"/>
      <c r="O38" s="2606"/>
      <c r="P38" s="3845" t="str">
        <f>A38</f>
        <v>比较价值（元/平方米）</v>
      </c>
      <c r="Q38" s="3845"/>
      <c r="R38" s="3838">
        <f>IF(F1="售价",ROUND(PRODUCT(R37,AA7:AA36),0),ROUND(PRODUCT(R37,AA7:AA36),1))</f>
        <v>408163</v>
      </c>
      <c r="S38" s="3838"/>
      <c r="T38" s="3838">
        <f>IF(F1="售价",ROUND(PRODUCT(T37,AB7:AB36),0),ROUND(PRODUCT(T37,AB7:AB36),1))</f>
        <v>351592</v>
      </c>
      <c r="U38" s="3838"/>
      <c r="V38" s="3838">
        <f>IF(F1="售价",ROUND(PRODUCT(V37,AC7:AC36),0),ROUND(PRODUCT(V37,AC7:AC36),1))</f>
        <v>412537</v>
      </c>
      <c r="W38" s="3838"/>
      <c r="X38" s="2613"/>
      <c r="Y38" s="2613"/>
      <c r="Z38" s="2613"/>
      <c r="AA38" s="2613"/>
      <c r="AB38" s="2613"/>
      <c r="AC38" s="2613"/>
    </row>
    <row r="39" spans="1:29" ht="15" thickBot="1">
      <c r="A39" s="2808" t="s">
        <v>2301</v>
      </c>
      <c r="B39" s="2809"/>
      <c r="C39" s="2604">
        <f>R39</f>
        <v>390764</v>
      </c>
      <c r="D39" s="2604"/>
      <c r="E39" s="2604"/>
      <c r="F39" s="2604"/>
      <c r="G39" s="2604"/>
      <c r="H39" s="2604"/>
      <c r="I39" s="2604"/>
      <c r="J39" s="2604"/>
      <c r="K39" s="3499"/>
      <c r="L39" s="2803"/>
      <c r="M39" s="2606"/>
      <c r="N39" s="2606"/>
      <c r="O39" s="2606"/>
      <c r="P39" s="3894" t="str">
        <f>A39</f>
        <v>估价对象XX用房的比较价值（楼面单价，元/平方米）</v>
      </c>
      <c r="Q39" s="3895"/>
      <c r="R39" s="3944">
        <f>IF(F1="售价",ROUND(IF(D38="简单平均",AVERAGE(R38:W38),R38*F38+T38*H38+V38*J38),0),ROUND(IF(D38="简单平均",AVERAGE(R38:V38),R38*F38+T38*H38+V38*J38),1))</f>
        <v>390764</v>
      </c>
      <c r="S39" s="3944"/>
      <c r="T39" s="3944"/>
      <c r="U39" s="3944"/>
      <c r="V39" s="3944"/>
      <c r="W39" s="3944"/>
      <c r="X39" s="2613"/>
      <c r="Y39" s="2613"/>
      <c r="Z39" s="2613"/>
      <c r="AA39" s="2613"/>
      <c r="AB39" s="2613"/>
      <c r="AC39" s="2613"/>
    </row>
    <row r="40" spans="1:29">
      <c r="A40" s="2606"/>
      <c r="B40" s="2606"/>
      <c r="C40" s="2606"/>
      <c r="D40" s="2606"/>
      <c r="E40" s="2606"/>
      <c r="F40" s="2606"/>
      <c r="G40" s="2606"/>
      <c r="H40" s="2606"/>
      <c r="I40" s="2606"/>
      <c r="J40" s="2606"/>
      <c r="K40" s="2606"/>
      <c r="L40" s="2606"/>
      <c r="M40" s="2606"/>
      <c r="N40" s="2606"/>
      <c r="O40" s="2606"/>
      <c r="P40" s="3500"/>
      <c r="Q40" s="2606"/>
      <c r="R40" s="2606"/>
      <c r="S40" s="2606"/>
      <c r="T40" s="2606"/>
      <c r="U40" s="2606"/>
      <c r="V40" s="2606"/>
      <c r="W40" s="2606"/>
      <c r="X40" s="2606"/>
      <c r="Y40" s="2606"/>
      <c r="Z40" s="2606"/>
      <c r="AA40" s="2606"/>
      <c r="AB40" s="2606"/>
      <c r="AC40" s="2606"/>
    </row>
    <row r="41" spans="1:29">
      <c r="A41" s="2606"/>
      <c r="B41" s="2606"/>
      <c r="C41" s="2606"/>
      <c r="D41" s="2606"/>
      <c r="E41" s="2606"/>
      <c r="F41" s="2606"/>
      <c r="G41" s="2606"/>
      <c r="H41" s="2606"/>
      <c r="I41" s="2606"/>
      <c r="J41" s="2606"/>
      <c r="K41" s="2606"/>
      <c r="L41" s="2606"/>
      <c r="M41" s="2606"/>
      <c r="N41" s="2606"/>
      <c r="O41" s="2606"/>
      <c r="P41" s="3500"/>
      <c r="Q41" s="2606"/>
      <c r="R41" s="2606"/>
      <c r="S41" s="2606"/>
      <c r="T41" s="2606"/>
      <c r="U41" s="2606"/>
      <c r="V41" s="2606"/>
      <c r="W41" s="2606"/>
      <c r="X41" s="2606"/>
      <c r="Y41" s="2606"/>
      <c r="Z41" s="2606"/>
      <c r="AA41" s="2606"/>
      <c r="AB41" s="2606"/>
      <c r="AC41" s="2606"/>
    </row>
    <row r="42" spans="1:29" ht="13.5" customHeight="1">
      <c r="A42" s="2606"/>
      <c r="B42" s="2606"/>
      <c r="C42" s="2607" t="s">
        <v>2302</v>
      </c>
      <c r="D42" s="2608"/>
      <c r="E42" s="3438">
        <f>IF(E37&lt;E38,E38/E37-1,E37/E38-1)</f>
        <v>2.0407499999999912E-2</v>
      </c>
      <c r="F42" s="3439" t="str">
        <f>IF(OR(E42&gt;=0.3,E42&lt;=-0.3),"超过30%","")</f>
        <v/>
      </c>
      <c r="G42" s="3438">
        <f>IF(G37&lt;G38,G38/G37-1,G37/G38-1)</f>
        <v>2.0408637102391491E-2</v>
      </c>
      <c r="H42" s="3439" t="str">
        <f>IF(OR(G42&gt;=0.3,G42&lt;=-0.3),"超过30%","")</f>
        <v/>
      </c>
      <c r="I42" s="3438">
        <f>IF(I37&lt;I38,I38/I37-1,I37/I38-1)</f>
        <v>2.0408819499067476E-2</v>
      </c>
      <c r="J42" s="3439" t="str">
        <f>IF(OR(I42&gt;=0.3,I42&lt;=-0.3),"超过30%","")</f>
        <v/>
      </c>
      <c r="K42" s="2606"/>
      <c r="L42" s="2606"/>
      <c r="M42" s="2606"/>
      <c r="N42" s="2606"/>
      <c r="O42" s="2606"/>
      <c r="P42" s="3500"/>
      <c r="Q42" s="2606"/>
      <c r="R42" s="2606"/>
      <c r="S42" s="2606"/>
      <c r="T42" s="2606"/>
      <c r="U42" s="2606"/>
      <c r="V42" s="2606"/>
      <c r="W42" s="2606"/>
      <c r="X42" s="2606"/>
      <c r="Y42" s="2606"/>
      <c r="Z42" s="2606"/>
      <c r="AA42" s="2606"/>
      <c r="AB42" s="2606"/>
      <c r="AC42" s="2606"/>
    </row>
    <row r="43" spans="1:29" ht="13.5" customHeight="1">
      <c r="A43" s="2606"/>
      <c r="B43" s="2606"/>
      <c r="C43" s="2607" t="s">
        <v>2303</v>
      </c>
      <c r="D43" s="2611"/>
      <c r="E43" s="3438">
        <f>IF(E38&lt;G38,G38/E38-1,E38/G38-1)</f>
        <v>0.16089956540535622</v>
      </c>
      <c r="F43" s="3439" t="str">
        <f>IF(OR(E43&gt;=0.2,E43&lt;=-0.2),"超过20%","")</f>
        <v/>
      </c>
      <c r="G43" s="3438">
        <f>IF(G38&lt;I38,I38/G38-1,G38/I38-1)</f>
        <v>0.1733401215044712</v>
      </c>
      <c r="H43" s="3439" t="str">
        <f>IF(OR(G43&gt;=0.2,G43&lt;=-0.2),"超过20%","")</f>
        <v/>
      </c>
      <c r="I43" s="3438">
        <f>IF(I38&lt;E38,E38/I38-1,I38/E38-1)</f>
        <v>1.0716306965599554E-2</v>
      </c>
      <c r="J43" s="3439" t="str">
        <f>IF(OR(I43&gt;=0.2,I43&lt;=-0.2),"超过20%","")</f>
        <v/>
      </c>
      <c r="K43" s="2606"/>
      <c r="L43" s="2606"/>
      <c r="M43" s="2606"/>
      <c r="N43" s="2606"/>
      <c r="O43" s="2606"/>
      <c r="P43" s="3500"/>
      <c r="Q43" s="2606"/>
      <c r="R43" s="2606"/>
      <c r="S43" s="2606"/>
      <c r="T43" s="2606"/>
      <c r="U43" s="2606"/>
      <c r="V43" s="2606"/>
      <c r="W43" s="2606"/>
      <c r="X43" s="2606"/>
      <c r="Y43" s="2606"/>
      <c r="Z43" s="2606"/>
      <c r="AA43" s="2606"/>
      <c r="AB43" s="2606"/>
      <c r="AC43" s="2606"/>
    </row>
    <row r="44" spans="1:29" s="2814" customFormat="1" ht="13.5" customHeight="1">
      <c r="A44" s="2612"/>
      <c r="B44" s="2612"/>
      <c r="C44" s="2607" t="s">
        <v>2304</v>
      </c>
      <c r="D44" s="2611"/>
      <c r="E44" s="3438">
        <f>IF(E37&lt;G37,G37/E37-1,E37/G37-1)</f>
        <v>0.16090085906663565</v>
      </c>
      <c r="F44" s="3439" t="str">
        <f>IF(OR(E44&gt;=0.3,E44&lt;=-0.3),"超过30%","")</f>
        <v/>
      </c>
      <c r="G44" s="3438">
        <f>IF(G37&lt;I37,I37/G37-1,G37/I37-1)</f>
        <v>0.17333991177153463</v>
      </c>
      <c r="H44" s="3439" t="str">
        <f>IF(OR(G44&gt;=0.3,G44&lt;=-0.3),"超过30%","")</f>
        <v/>
      </c>
      <c r="I44" s="3438">
        <f>IF(I37&lt;E37,E37/I37-1,I37/E37-1)</f>
        <v>1.071500000000003E-2</v>
      </c>
      <c r="J44" s="3439" t="str">
        <f>IF(OR(I44&gt;=0.3,I44&lt;=-0.3),"超过30%","")</f>
        <v/>
      </c>
      <c r="K44" s="2612"/>
      <c r="L44" s="2612"/>
      <c r="M44" s="2612"/>
      <c r="N44" s="2612"/>
      <c r="O44" s="2612"/>
      <c r="P44" s="3501"/>
      <c r="Q44" s="2612"/>
      <c r="R44" s="2612"/>
      <c r="S44" s="2612"/>
      <c r="T44" s="2612"/>
      <c r="U44" s="2612"/>
      <c r="V44" s="2612"/>
      <c r="W44" s="2612"/>
      <c r="X44" s="2612"/>
      <c r="Y44" s="2612"/>
      <c r="Z44" s="2612"/>
      <c r="AA44" s="2612"/>
      <c r="AB44" s="2612"/>
      <c r="AC44" s="2612"/>
    </row>
    <row r="45" spans="1:29" s="2814" customFormat="1">
      <c r="A45" s="2612"/>
      <c r="B45" s="2606"/>
      <c r="C45" s="2606"/>
      <c r="D45" s="2612"/>
      <c r="E45" s="2612"/>
      <c r="F45" s="2612"/>
      <c r="G45" s="2612"/>
      <c r="H45" s="2612"/>
      <c r="I45" s="2612"/>
      <c r="J45" s="2612"/>
      <c r="K45" s="2612"/>
      <c r="L45" s="2612"/>
      <c r="M45" s="2612"/>
      <c r="N45" s="2612"/>
      <c r="O45" s="2612"/>
      <c r="P45" s="3501"/>
      <c r="Q45" s="2612"/>
      <c r="R45" s="2612"/>
      <c r="S45" s="2612"/>
      <c r="T45" s="2612"/>
      <c r="U45" s="2612"/>
      <c r="V45" s="2612"/>
      <c r="W45" s="2612"/>
      <c r="X45" s="2612"/>
      <c r="Y45" s="2612"/>
      <c r="Z45" s="2612"/>
      <c r="AA45" s="2612"/>
      <c r="AB45" s="2612"/>
      <c r="AC45" s="2612"/>
    </row>
    <row r="46" spans="1:29">
      <c r="A46" s="2606"/>
      <c r="B46" s="2606"/>
      <c r="C46" s="2606"/>
      <c r="D46" s="2606"/>
      <c r="E46" s="2606"/>
      <c r="F46" s="2606"/>
      <c r="G46" s="2606"/>
      <c r="H46" s="2606"/>
      <c r="I46" s="2606"/>
      <c r="J46" s="2606"/>
      <c r="K46" s="2606"/>
      <c r="L46" s="2606"/>
      <c r="M46" s="2606"/>
      <c r="N46" s="2606"/>
      <c r="O46" s="2606"/>
      <c r="P46" s="3500"/>
      <c r="Q46" s="2606"/>
      <c r="R46" s="2606"/>
      <c r="S46" s="2606"/>
      <c r="T46" s="2606"/>
      <c r="U46" s="2606"/>
      <c r="V46" s="2606"/>
      <c r="W46" s="2606"/>
      <c r="X46" s="2606"/>
      <c r="Y46" s="2606"/>
      <c r="Z46" s="2606"/>
      <c r="AA46" s="2606"/>
      <c r="AB46" s="2606"/>
      <c r="AC46" s="2606"/>
    </row>
    <row r="47" spans="1:29" ht="22.2" thickBot="1">
      <c r="A47" s="3502" t="s">
        <v>2305</v>
      </c>
      <c r="B47" s="2643"/>
      <c r="C47" s="2646"/>
      <c r="D47" s="2646"/>
      <c r="E47" s="2646"/>
      <c r="F47" s="2647"/>
      <c r="G47" s="2647"/>
      <c r="H47" s="2646"/>
      <c r="I47" s="2646"/>
      <c r="J47" s="2646"/>
      <c r="K47" s="2647"/>
      <c r="L47" s="2646"/>
      <c r="M47" s="2646"/>
      <c r="N47" s="3461"/>
      <c r="O47" s="3461"/>
      <c r="P47" s="3503"/>
      <c r="Q47" s="2739"/>
      <c r="R47" s="2606"/>
      <c r="S47" s="2606"/>
      <c r="T47" s="2606"/>
      <c r="U47" s="2606"/>
      <c r="V47" s="2606"/>
      <c r="W47" s="2606"/>
      <c r="X47" s="2606"/>
      <c r="Y47" s="2606"/>
      <c r="Z47" s="2606"/>
      <c r="AA47" s="2606"/>
      <c r="AB47" s="2606"/>
      <c r="AC47" s="2606"/>
    </row>
    <row r="48" spans="1:29" s="2746" customFormat="1" ht="14.4">
      <c r="A48" s="2818" t="s">
        <v>2306</v>
      </c>
      <c r="B48" s="2819"/>
      <c r="C48" s="2648" t="str">
        <f>YEAR(C7)&amp;"-"&amp;MONTH(C7)</f>
        <v>2022-8</v>
      </c>
      <c r="D48" s="3597">
        <f>EDATE(C48,-1)</f>
        <v>44743</v>
      </c>
      <c r="E48" s="3597">
        <f t="shared" ref="E48:O48" si="16">EDATE(D48,-1)</f>
        <v>44713</v>
      </c>
      <c r="F48" s="3597">
        <f t="shared" si="16"/>
        <v>44682</v>
      </c>
      <c r="G48" s="3597">
        <f t="shared" si="16"/>
        <v>44652</v>
      </c>
      <c r="H48" s="3597">
        <f t="shared" si="16"/>
        <v>44621</v>
      </c>
      <c r="I48" s="3597">
        <f t="shared" si="16"/>
        <v>44593</v>
      </c>
      <c r="J48" s="3597">
        <f t="shared" si="16"/>
        <v>44562</v>
      </c>
      <c r="K48" s="3597">
        <f t="shared" si="16"/>
        <v>44531</v>
      </c>
      <c r="L48" s="3597">
        <f t="shared" si="16"/>
        <v>44501</v>
      </c>
      <c r="M48" s="3597">
        <f t="shared" si="16"/>
        <v>44470</v>
      </c>
      <c r="N48" s="3597">
        <f t="shared" si="16"/>
        <v>44440</v>
      </c>
      <c r="O48" s="3597">
        <f t="shared" si="16"/>
        <v>44409</v>
      </c>
      <c r="P48" s="3504"/>
      <c r="Q48" s="3043"/>
      <c r="R48" s="3043"/>
      <c r="S48" s="3043"/>
      <c r="T48" s="3043"/>
      <c r="U48" s="3043"/>
      <c r="V48" s="3043"/>
      <c r="W48" s="3043"/>
      <c r="X48" s="3043"/>
      <c r="Y48" s="3043"/>
      <c r="Z48" s="3043"/>
      <c r="AA48" s="3043"/>
      <c r="AB48" s="3043"/>
      <c r="AC48" s="3043"/>
    </row>
    <row r="49" spans="1:29" s="2746" customFormat="1">
      <c r="A49" s="2822"/>
      <c r="B49" s="2831"/>
      <c r="C49" s="3505">
        <v>100</v>
      </c>
      <c r="D49" s="2656">
        <v>100</v>
      </c>
      <c r="E49" s="2656"/>
      <c r="F49" s="2656"/>
      <c r="G49" s="2656"/>
      <c r="H49" s="2656"/>
      <c r="I49" s="2656"/>
      <c r="J49" s="2656"/>
      <c r="K49" s="2656"/>
      <c r="L49" s="2656"/>
      <c r="M49" s="2761"/>
      <c r="N49" s="2656"/>
      <c r="O49" s="2761"/>
      <c r="P49" s="3506"/>
      <c r="Q49" s="3043"/>
      <c r="R49" s="3043"/>
      <c r="S49" s="3043"/>
      <c r="T49" s="3043"/>
      <c r="U49" s="3043"/>
      <c r="V49" s="3043"/>
      <c r="W49" s="3043"/>
      <c r="X49" s="3043"/>
      <c r="Y49" s="3043"/>
      <c r="Z49" s="3043"/>
      <c r="AA49" s="3043"/>
      <c r="AB49" s="3043"/>
      <c r="AC49" s="3043"/>
    </row>
    <row r="50" spans="1:29" s="2746" customFormat="1" ht="15" thickBot="1">
      <c r="A50" s="2827" t="s">
        <v>2163</v>
      </c>
      <c r="B50" s="2828"/>
      <c r="C50" s="2651"/>
      <c r="D50" s="2652"/>
      <c r="E50" s="2652"/>
      <c r="F50" s="2652"/>
      <c r="G50" s="2652"/>
      <c r="H50" s="2652"/>
      <c r="I50" s="2652"/>
      <c r="J50" s="2652"/>
      <c r="K50" s="2652"/>
      <c r="L50" s="2652"/>
      <c r="M50" s="2829"/>
      <c r="N50" s="2652"/>
      <c r="O50" s="2829"/>
      <c r="P50" s="3506"/>
      <c r="Q50" s="2739"/>
      <c r="R50" s="3043"/>
      <c r="S50" s="3043"/>
      <c r="T50" s="3043"/>
      <c r="U50" s="3043"/>
      <c r="V50" s="3043"/>
      <c r="W50" s="3043"/>
      <c r="X50" s="3043"/>
      <c r="Y50" s="3043"/>
      <c r="Z50" s="3043"/>
      <c r="AA50" s="3043"/>
      <c r="AB50" s="3043"/>
      <c r="AC50" s="3043"/>
    </row>
    <row r="51" spans="1:29" s="2746" customFormat="1" ht="14.4">
      <c r="A51" s="2830" t="s">
        <v>2128</v>
      </c>
      <c r="B51" s="2831"/>
      <c r="C51" s="2653" t="s">
        <v>2230</v>
      </c>
      <c r="D51" s="2654"/>
      <c r="E51" s="2654"/>
      <c r="F51" s="2654"/>
      <c r="G51" s="2654"/>
      <c r="H51" s="2654"/>
      <c r="I51" s="2654"/>
      <c r="J51" s="2654"/>
      <c r="K51" s="2654"/>
      <c r="L51" s="2832"/>
      <c r="M51" s="2833"/>
      <c r="N51" s="2739"/>
      <c r="O51" s="2739"/>
      <c r="P51" s="3507"/>
      <c r="Q51" s="2739"/>
      <c r="R51" s="3043"/>
      <c r="S51" s="3043"/>
      <c r="T51" s="3043"/>
      <c r="U51" s="3043"/>
      <c r="V51" s="3043"/>
      <c r="W51" s="3043"/>
      <c r="X51" s="3043"/>
      <c r="Y51" s="3043"/>
      <c r="Z51" s="3043"/>
      <c r="AA51" s="3043"/>
      <c r="AB51" s="3043"/>
      <c r="AC51" s="3043"/>
    </row>
    <row r="52" spans="1:29" s="2746" customFormat="1" ht="14.4" thickBot="1">
      <c r="A52" s="2830"/>
      <c r="B52" s="2831"/>
      <c r="C52" s="2655">
        <v>100</v>
      </c>
      <c r="D52" s="2656"/>
      <c r="E52" s="2656"/>
      <c r="F52" s="2656"/>
      <c r="G52" s="2656"/>
      <c r="H52" s="2656"/>
      <c r="I52" s="2656"/>
      <c r="J52" s="2656"/>
      <c r="K52" s="2656"/>
      <c r="L52" s="2656"/>
      <c r="M52" s="2836"/>
      <c r="N52" s="2739"/>
      <c r="O52" s="2739"/>
      <c r="P52" s="3506"/>
      <c r="Q52" s="2739"/>
      <c r="R52" s="3043"/>
      <c r="S52" s="3043"/>
      <c r="T52" s="3043"/>
      <c r="U52" s="3043"/>
      <c r="V52" s="3043"/>
      <c r="W52" s="3043"/>
      <c r="X52" s="3043"/>
      <c r="Y52" s="3043"/>
      <c r="Z52" s="3043"/>
      <c r="AA52" s="3043"/>
      <c r="AB52" s="3043"/>
      <c r="AC52" s="3043"/>
    </row>
    <row r="53" spans="1:29" ht="14.4">
      <c r="A53" s="2767" t="s">
        <v>2166</v>
      </c>
      <c r="B53" s="2837" t="s">
        <v>2132</v>
      </c>
      <c r="C53" s="2674" t="str">
        <f>C9</f>
        <v>车库</v>
      </c>
      <c r="D53" s="2658"/>
      <c r="E53" s="2658"/>
      <c r="F53" s="2658"/>
      <c r="G53" s="2658"/>
      <c r="H53" s="2658"/>
      <c r="I53" s="2658"/>
      <c r="J53" s="2658"/>
      <c r="K53" s="2659"/>
      <c r="L53" s="2838"/>
      <c r="M53" s="2839"/>
      <c r="N53" s="2763"/>
      <c r="O53" s="2763"/>
      <c r="P53" s="3506"/>
      <c r="Q53" s="2739"/>
      <c r="R53" s="2606"/>
      <c r="S53" s="2606"/>
      <c r="T53" s="2606"/>
      <c r="U53" s="2606"/>
      <c r="V53" s="2606"/>
      <c r="W53" s="2606"/>
      <c r="X53" s="2606"/>
      <c r="Y53" s="2606"/>
      <c r="Z53" s="2606"/>
      <c r="AA53" s="2606"/>
      <c r="AB53" s="2606"/>
      <c r="AC53" s="2606"/>
    </row>
    <row r="54" spans="1:29" ht="14.4" thickBot="1">
      <c r="A54" s="2758"/>
      <c r="B54" s="2841"/>
      <c r="C54" s="2660">
        <v>100</v>
      </c>
      <c r="D54" s="2660"/>
      <c r="E54" s="2660"/>
      <c r="F54" s="2660"/>
      <c r="G54" s="2660"/>
      <c r="H54" s="2660"/>
      <c r="I54" s="2660"/>
      <c r="J54" s="2660"/>
      <c r="K54" s="2660"/>
      <c r="L54" s="2660"/>
      <c r="M54" s="2842"/>
      <c r="N54" s="3464"/>
      <c r="O54" s="3464"/>
      <c r="P54" s="3506"/>
      <c r="Q54" s="2739"/>
      <c r="R54" s="2606"/>
      <c r="S54" s="2606"/>
      <c r="T54" s="2606"/>
      <c r="U54" s="2606"/>
      <c r="V54" s="2606"/>
      <c r="W54" s="2606"/>
      <c r="X54" s="2606"/>
      <c r="Y54" s="2606"/>
      <c r="Z54" s="2606"/>
      <c r="AA54" s="2606"/>
      <c r="AB54" s="2606"/>
      <c r="AC54" s="2606"/>
    </row>
    <row r="55" spans="1:29" ht="29.4" thickTop="1">
      <c r="A55" s="2758"/>
      <c r="B55" s="2844" t="s">
        <v>2135</v>
      </c>
      <c r="C55" s="2661" t="s">
        <v>2167</v>
      </c>
      <c r="D55" s="2661" t="s">
        <v>2168</v>
      </c>
      <c r="E55" s="2661" t="s">
        <v>2169</v>
      </c>
      <c r="F55" s="2661" t="s">
        <v>2170</v>
      </c>
      <c r="G55" s="2661" t="s">
        <v>2171</v>
      </c>
      <c r="H55" s="2661" t="s">
        <v>2172</v>
      </c>
      <c r="I55" s="2661" t="s">
        <v>2173</v>
      </c>
      <c r="J55" s="2661"/>
      <c r="K55" s="2662"/>
      <c r="L55" s="2845"/>
      <c r="M55" s="2846"/>
      <c r="N55" s="2763"/>
      <c r="O55" s="2763"/>
      <c r="P55" s="3506"/>
      <c r="Q55" s="2739"/>
      <c r="R55" s="2606"/>
      <c r="S55" s="2606"/>
      <c r="T55" s="2606"/>
      <c r="U55" s="2606"/>
      <c r="V55" s="2606"/>
      <c r="W55" s="2606"/>
      <c r="X55" s="2606"/>
      <c r="Y55" s="2606"/>
      <c r="Z55" s="2606"/>
      <c r="AA55" s="2606"/>
      <c r="AB55" s="2606"/>
      <c r="AC55" s="2606"/>
    </row>
    <row r="56" spans="1:29" ht="14.4" thickBot="1">
      <c r="A56" s="2758"/>
      <c r="B56" s="2847"/>
      <c r="C56" s="2663" t="s">
        <v>24</v>
      </c>
      <c r="D56" s="2663" t="s">
        <v>25</v>
      </c>
      <c r="E56" s="2663">
        <v>100</v>
      </c>
      <c r="F56" s="2663">
        <f>E56-$K10</f>
        <v>99</v>
      </c>
      <c r="G56" s="2663">
        <f>F56-$K10</f>
        <v>98</v>
      </c>
      <c r="H56" s="2663">
        <f>G56-$K10</f>
        <v>97</v>
      </c>
      <c r="I56" s="2663">
        <f>H56-$K10</f>
        <v>96</v>
      </c>
      <c r="J56" s="2663"/>
      <c r="K56" s="2663"/>
      <c r="L56" s="2663"/>
      <c r="M56" s="2848"/>
      <c r="N56" s="3464"/>
      <c r="O56" s="3464"/>
      <c r="P56" s="3506"/>
      <c r="Q56" s="2739"/>
      <c r="R56" s="2606"/>
      <c r="S56" s="2606"/>
      <c r="T56" s="2606"/>
      <c r="U56" s="2606"/>
      <c r="V56" s="2606"/>
      <c r="W56" s="2606"/>
      <c r="X56" s="2606"/>
      <c r="Y56" s="2606"/>
      <c r="Z56" s="2606"/>
      <c r="AA56" s="2606"/>
      <c r="AB56" s="2606"/>
      <c r="AC56" s="2606"/>
    </row>
    <row r="57" spans="1:29" ht="14.4" thickTop="1">
      <c r="A57" s="2758"/>
      <c r="B57" s="2775">
        <f>B11</f>
        <v>111</v>
      </c>
      <c r="C57" s="2554"/>
      <c r="D57" s="2554"/>
      <c r="E57" s="2554"/>
      <c r="F57" s="2554"/>
      <c r="G57" s="2554"/>
      <c r="H57" s="2554"/>
      <c r="I57" s="2554"/>
      <c r="J57" s="2554"/>
      <c r="K57" s="2665"/>
      <c r="L57" s="2850"/>
      <c r="M57" s="2851"/>
      <c r="N57" s="2763"/>
      <c r="O57" s="2763"/>
      <c r="P57" s="3506"/>
      <c r="Q57" s="2739"/>
      <c r="R57" s="2606"/>
      <c r="S57" s="2606"/>
      <c r="T57" s="2606"/>
      <c r="U57" s="2606"/>
      <c r="V57" s="2606"/>
      <c r="W57" s="2606"/>
      <c r="X57" s="2606"/>
      <c r="Y57" s="2606"/>
      <c r="Z57" s="2606"/>
      <c r="AA57" s="2606"/>
      <c r="AB57" s="2606"/>
      <c r="AC57" s="2606"/>
    </row>
    <row r="58" spans="1:29" ht="14.4" thickBot="1">
      <c r="A58" s="2758"/>
      <c r="B58" s="2841"/>
      <c r="C58" s="2668"/>
      <c r="D58" s="2660"/>
      <c r="E58" s="2660"/>
      <c r="F58" s="2660"/>
      <c r="G58" s="2660"/>
      <c r="H58" s="2660"/>
      <c r="I58" s="2660"/>
      <c r="J58" s="2660"/>
      <c r="K58" s="2660"/>
      <c r="L58" s="2660"/>
      <c r="M58" s="2842"/>
      <c r="N58" s="3464"/>
      <c r="O58" s="3464"/>
      <c r="P58" s="3506"/>
      <c r="Q58" s="2739"/>
      <c r="R58" s="2606"/>
      <c r="S58" s="2606"/>
      <c r="T58" s="2606"/>
      <c r="U58" s="2606"/>
      <c r="V58" s="2606"/>
      <c r="W58" s="2606"/>
      <c r="X58" s="2606"/>
      <c r="Y58" s="2606"/>
      <c r="Z58" s="2606"/>
      <c r="AA58" s="2606"/>
      <c r="AB58" s="2606"/>
      <c r="AC58" s="2606"/>
    </row>
    <row r="59" spans="1:29" s="2795" customFormat="1" ht="14.4" thickTop="1">
      <c r="A59" s="2852"/>
      <c r="B59" s="2844">
        <f>B12</f>
        <v>111</v>
      </c>
      <c r="C59" s="2554"/>
      <c r="D59" s="2554"/>
      <c r="E59" s="2554"/>
      <c r="F59" s="2554"/>
      <c r="G59" s="2666"/>
      <c r="H59" s="2667"/>
      <c r="I59" s="2667"/>
      <c r="J59" s="2667"/>
      <c r="K59" s="2667"/>
      <c r="L59" s="2853"/>
      <c r="M59" s="2854"/>
      <c r="N59" s="2759"/>
      <c r="O59" s="2759"/>
      <c r="P59" s="3508"/>
      <c r="Q59" s="2759"/>
      <c r="R59" s="3465"/>
      <c r="S59" s="3465"/>
      <c r="T59" s="3465"/>
      <c r="U59" s="3465"/>
      <c r="V59" s="3465"/>
      <c r="W59" s="3465"/>
      <c r="X59" s="3465"/>
      <c r="Y59" s="3465"/>
      <c r="Z59" s="3465"/>
      <c r="AA59" s="3465"/>
      <c r="AB59" s="3465"/>
      <c r="AC59" s="3465"/>
    </row>
    <row r="60" spans="1:29" s="2795" customFormat="1" ht="14.4" thickBot="1">
      <c r="A60" s="2852"/>
      <c r="B60" s="2847"/>
      <c r="C60" s="2668"/>
      <c r="D60" s="2660"/>
      <c r="E60" s="2660"/>
      <c r="F60" s="2660"/>
      <c r="G60" s="2660"/>
      <c r="H60" s="2660"/>
      <c r="I60" s="2660"/>
      <c r="J60" s="2660"/>
      <c r="K60" s="2660"/>
      <c r="L60" s="2660"/>
      <c r="M60" s="2842"/>
      <c r="N60" s="3464"/>
      <c r="O60" s="3464"/>
      <c r="P60" s="3508"/>
      <c r="Q60" s="2759"/>
      <c r="R60" s="3465"/>
      <c r="S60" s="3465"/>
      <c r="T60" s="3465"/>
      <c r="U60" s="3465"/>
      <c r="V60" s="3465"/>
      <c r="W60" s="3465"/>
      <c r="X60" s="3465"/>
      <c r="Y60" s="3465"/>
      <c r="Z60" s="3465"/>
      <c r="AA60" s="3465"/>
      <c r="AB60" s="3465"/>
      <c r="AC60" s="3465"/>
    </row>
    <row r="61" spans="1:29" s="2795" customFormat="1" ht="14.4" thickTop="1">
      <c r="A61" s="2852"/>
      <c r="B61" s="2844">
        <f>B13</f>
        <v>111</v>
      </c>
      <c r="C61" s="2666"/>
      <c r="D61" s="2666"/>
      <c r="E61" s="2666"/>
      <c r="F61" s="2666"/>
      <c r="G61" s="2666"/>
      <c r="H61" s="2667"/>
      <c r="I61" s="2667"/>
      <c r="J61" s="2667"/>
      <c r="K61" s="2667"/>
      <c r="L61" s="2853"/>
      <c r="M61" s="2854"/>
      <c r="N61" s="2759"/>
      <c r="O61" s="2759"/>
      <c r="P61" s="3509"/>
      <c r="Q61" s="2789"/>
      <c r="R61" s="3465"/>
      <c r="S61" s="3465"/>
      <c r="T61" s="3465"/>
      <c r="U61" s="3465"/>
      <c r="V61" s="3465"/>
      <c r="W61" s="3465"/>
      <c r="X61" s="3465"/>
      <c r="Y61" s="3465"/>
      <c r="Z61" s="3465"/>
      <c r="AA61" s="3465"/>
      <c r="AB61" s="3465"/>
      <c r="AC61" s="3465"/>
    </row>
    <row r="62" spans="1:29" s="2795" customFormat="1" ht="14.4" thickBot="1">
      <c r="A62" s="2852"/>
      <c r="B62" s="2847"/>
      <c r="C62" s="2668"/>
      <c r="D62" s="2668"/>
      <c r="E62" s="2668"/>
      <c r="F62" s="2668"/>
      <c r="G62" s="2668"/>
      <c r="H62" s="2669"/>
      <c r="I62" s="2669"/>
      <c r="J62" s="2669"/>
      <c r="K62" s="2669"/>
      <c r="L62" s="2669"/>
      <c r="M62" s="2860"/>
      <c r="N62" s="2759"/>
      <c r="O62" s="2759"/>
      <c r="P62" s="3508"/>
      <c r="Q62" s="2759"/>
      <c r="R62" s="3465"/>
      <c r="S62" s="3465"/>
      <c r="T62" s="3465"/>
      <c r="U62" s="3465"/>
      <c r="V62" s="3465"/>
      <c r="W62" s="3465"/>
      <c r="X62" s="3465"/>
      <c r="Y62" s="3465"/>
      <c r="Z62" s="3465"/>
      <c r="AA62" s="3465"/>
      <c r="AB62" s="3465"/>
      <c r="AC62" s="3465"/>
    </row>
    <row r="63" spans="1:29" ht="15" thickTop="1">
      <c r="A63" s="2767" t="s">
        <v>2137</v>
      </c>
      <c r="B63" s="2837" t="s">
        <v>2180</v>
      </c>
      <c r="C63" s="2673" t="s">
        <v>2175</v>
      </c>
      <c r="D63" s="2673" t="s">
        <v>2176</v>
      </c>
      <c r="E63" s="2673" t="s">
        <v>2177</v>
      </c>
      <c r="F63" s="2673" t="s">
        <v>2178</v>
      </c>
      <c r="G63" s="2673" t="s">
        <v>2179</v>
      </c>
      <c r="H63" s="2674"/>
      <c r="I63" s="2674"/>
      <c r="J63" s="2674"/>
      <c r="K63" s="2675"/>
      <c r="L63" s="2867"/>
      <c r="M63" s="2868"/>
      <c r="N63" s="2763"/>
      <c r="O63" s="2763"/>
      <c r="P63" s="3510"/>
      <c r="Q63" s="2739"/>
      <c r="R63" s="2606"/>
      <c r="S63" s="2606"/>
      <c r="T63" s="2606"/>
      <c r="U63" s="2606"/>
      <c r="V63" s="2606"/>
      <c r="W63" s="2606"/>
      <c r="X63" s="2606"/>
      <c r="Y63" s="2606"/>
      <c r="Z63" s="2606"/>
      <c r="AA63" s="2606"/>
      <c r="AB63" s="2606"/>
      <c r="AC63" s="2606"/>
    </row>
    <row r="64" spans="1:29" ht="14.4" thickBot="1">
      <c r="A64" s="2758"/>
      <c r="B64" s="2847"/>
      <c r="C64" s="2663">
        <v>100</v>
      </c>
      <c r="D64" s="2663">
        <f>C64-$K14</f>
        <v>99</v>
      </c>
      <c r="E64" s="2663">
        <f>D64-$K14</f>
        <v>98</v>
      </c>
      <c r="F64" s="2663">
        <f>E64-$K14</f>
        <v>97</v>
      </c>
      <c r="G64" s="2663">
        <f>F64-$K14</f>
        <v>96</v>
      </c>
      <c r="H64" s="2663"/>
      <c r="I64" s="2663"/>
      <c r="J64" s="2663"/>
      <c r="K64" s="2663"/>
      <c r="L64" s="2663"/>
      <c r="M64" s="2848"/>
      <c r="N64" s="3464"/>
      <c r="O64" s="3464"/>
      <c r="P64" s="3506"/>
      <c r="Q64" s="2739"/>
      <c r="R64" s="2606"/>
      <c r="S64" s="2606"/>
      <c r="T64" s="2606"/>
      <c r="U64" s="2606"/>
      <c r="V64" s="2606"/>
      <c r="W64" s="2606"/>
      <c r="X64" s="2606"/>
      <c r="Y64" s="2606"/>
      <c r="Z64" s="2606"/>
      <c r="AA64" s="2606"/>
      <c r="AB64" s="2606"/>
      <c r="AC64" s="2606"/>
    </row>
    <row r="65" spans="1:29" ht="15" thickTop="1">
      <c r="A65" s="2758"/>
      <c r="B65" s="2844" t="s">
        <v>2181</v>
      </c>
      <c r="C65" s="2676" t="s">
        <v>2175</v>
      </c>
      <c r="D65" s="2676" t="s">
        <v>2176</v>
      </c>
      <c r="E65" s="2676" t="s">
        <v>2177</v>
      </c>
      <c r="F65" s="2676" t="s">
        <v>2178</v>
      </c>
      <c r="G65" s="2676" t="s">
        <v>2179</v>
      </c>
      <c r="H65" s="2661"/>
      <c r="I65" s="2661"/>
      <c r="J65" s="2661"/>
      <c r="K65" s="2662"/>
      <c r="L65" s="2845"/>
      <c r="M65" s="2846"/>
      <c r="N65" s="2763"/>
      <c r="O65" s="2763"/>
      <c r="P65" s="3506"/>
      <c r="Q65" s="2739"/>
      <c r="R65" s="2606"/>
      <c r="S65" s="2606"/>
      <c r="T65" s="2606"/>
      <c r="U65" s="2606"/>
      <c r="V65" s="2606"/>
      <c r="W65" s="2606"/>
      <c r="X65" s="2606"/>
      <c r="Y65" s="2606"/>
      <c r="Z65" s="2606"/>
      <c r="AA65" s="2606"/>
      <c r="AB65" s="2606"/>
      <c r="AC65" s="2606"/>
    </row>
    <row r="66" spans="1:29" ht="14.4" thickBot="1">
      <c r="A66" s="2758"/>
      <c r="B66" s="2847"/>
      <c r="C66" s="2663">
        <v>100</v>
      </c>
      <c r="D66" s="2663">
        <f>C66-$K16</f>
        <v>99</v>
      </c>
      <c r="E66" s="2663">
        <f>D66-$K16</f>
        <v>98</v>
      </c>
      <c r="F66" s="2663">
        <f>E66-$K16</f>
        <v>97</v>
      </c>
      <c r="G66" s="2663">
        <f>F66-$K16</f>
        <v>96</v>
      </c>
      <c r="H66" s="2663"/>
      <c r="I66" s="2663"/>
      <c r="J66" s="2663"/>
      <c r="K66" s="2663"/>
      <c r="L66" s="2663"/>
      <c r="M66" s="2848"/>
      <c r="N66" s="3464"/>
      <c r="O66" s="3464"/>
      <c r="P66" s="3506"/>
      <c r="Q66" s="2739"/>
      <c r="R66" s="2606"/>
      <c r="S66" s="2606"/>
      <c r="T66" s="2606"/>
      <c r="U66" s="2606"/>
      <c r="V66" s="2606"/>
      <c r="W66" s="2606"/>
      <c r="X66" s="2606"/>
      <c r="Y66" s="2606"/>
      <c r="Z66" s="2606"/>
      <c r="AA66" s="2606"/>
      <c r="AB66" s="2606"/>
      <c r="AC66" s="2606"/>
    </row>
    <row r="67" spans="1:29" ht="15" thickTop="1">
      <c r="A67" s="2758"/>
      <c r="B67" s="2849" t="s">
        <v>2267</v>
      </c>
      <c r="C67" s="2775" t="s">
        <v>2253</v>
      </c>
      <c r="D67" s="2775" t="s">
        <v>2254</v>
      </c>
      <c r="E67" s="2775" t="s">
        <v>2255</v>
      </c>
      <c r="F67" s="2775" t="s">
        <v>2256</v>
      </c>
      <c r="G67" s="2775" t="s">
        <v>2257</v>
      </c>
      <c r="H67" s="2661"/>
      <c r="I67" s="2661"/>
      <c r="J67" s="2661"/>
      <c r="K67" s="2661"/>
      <c r="L67" s="2661"/>
      <c r="M67" s="2870"/>
      <c r="N67" s="3464"/>
      <c r="O67" s="3464"/>
      <c r="P67" s="3506"/>
      <c r="Q67" s="2739"/>
      <c r="R67" s="2606"/>
      <c r="S67" s="2606"/>
      <c r="T67" s="2606"/>
      <c r="U67" s="2606"/>
      <c r="V67" s="2606"/>
      <c r="W67" s="2606"/>
      <c r="X67" s="2606"/>
      <c r="Y67" s="2606"/>
      <c r="Z67" s="2606"/>
      <c r="AA67" s="2606"/>
      <c r="AB67" s="2606"/>
      <c r="AC67" s="2606"/>
    </row>
    <row r="68" spans="1:29" ht="14.4" thickBot="1">
      <c r="A68" s="2758"/>
      <c r="B68" s="2849"/>
      <c r="C68" s="2663">
        <v>100</v>
      </c>
      <c r="D68" s="2663">
        <f>C68-$K18</f>
        <v>99</v>
      </c>
      <c r="E68" s="2663">
        <f>D68-$K18</f>
        <v>98</v>
      </c>
      <c r="F68" s="2663">
        <f>E68-$K18</f>
        <v>97</v>
      </c>
      <c r="G68" s="2663">
        <f>F68-$K18</f>
        <v>96</v>
      </c>
      <c r="H68" s="2775"/>
      <c r="I68" s="2775"/>
      <c r="J68" s="2775"/>
      <c r="K68" s="2775"/>
      <c r="L68" s="2775"/>
      <c r="M68" s="2564"/>
      <c r="N68" s="3464"/>
      <c r="O68" s="3464"/>
      <c r="P68" s="3506"/>
      <c r="Q68" s="2739"/>
      <c r="R68" s="2606"/>
      <c r="S68" s="2606"/>
      <c r="T68" s="2606"/>
      <c r="U68" s="2606"/>
      <c r="V68" s="2606"/>
      <c r="W68" s="2606"/>
      <c r="X68" s="2606"/>
      <c r="Y68" s="2606"/>
      <c r="Z68" s="2606"/>
      <c r="AA68" s="2606"/>
      <c r="AB68" s="2606"/>
      <c r="AC68" s="2606"/>
    </row>
    <row r="69" spans="1:29" ht="15" thickTop="1">
      <c r="A69" s="2758"/>
      <c r="B69" s="2844" t="s">
        <v>2187</v>
      </c>
      <c r="C69" s="2676" t="s">
        <v>2175</v>
      </c>
      <c r="D69" s="2676" t="s">
        <v>2176</v>
      </c>
      <c r="E69" s="2676" t="s">
        <v>2177</v>
      </c>
      <c r="F69" s="2676" t="s">
        <v>2178</v>
      </c>
      <c r="G69" s="2676" t="s">
        <v>2179</v>
      </c>
      <c r="H69" s="2661"/>
      <c r="I69" s="2661"/>
      <c r="J69" s="2661"/>
      <c r="K69" s="2662"/>
      <c r="L69" s="2845"/>
      <c r="M69" s="2846"/>
      <c r="N69" s="2763"/>
      <c r="O69" s="2763"/>
      <c r="P69" s="3506"/>
      <c r="Q69" s="2739"/>
      <c r="R69" s="2606"/>
      <c r="S69" s="2606"/>
      <c r="T69" s="2606"/>
      <c r="U69" s="2606"/>
      <c r="V69" s="2606"/>
      <c r="W69" s="2606"/>
      <c r="X69" s="2606"/>
      <c r="Y69" s="2606"/>
      <c r="Z69" s="2606"/>
      <c r="AA69" s="2606"/>
      <c r="AB69" s="2606"/>
      <c r="AC69" s="2606"/>
    </row>
    <row r="70" spans="1:29" ht="14.4" thickBot="1">
      <c r="A70" s="2758"/>
      <c r="B70" s="2847"/>
      <c r="C70" s="2663">
        <v>100</v>
      </c>
      <c r="D70" s="2663">
        <f>C70-$K20</f>
        <v>99</v>
      </c>
      <c r="E70" s="2663">
        <f>D70-$K20</f>
        <v>98</v>
      </c>
      <c r="F70" s="2663">
        <f>E70-$K20</f>
        <v>97</v>
      </c>
      <c r="G70" s="2663">
        <f>F70-$K20</f>
        <v>96</v>
      </c>
      <c r="H70" s="2663"/>
      <c r="I70" s="2663"/>
      <c r="J70" s="2663"/>
      <c r="K70" s="2663"/>
      <c r="L70" s="2663"/>
      <c r="M70" s="2848"/>
      <c r="N70" s="3464"/>
      <c r="O70" s="3464"/>
      <c r="P70" s="3506"/>
      <c r="Q70" s="2739"/>
      <c r="R70" s="2606"/>
      <c r="S70" s="2606"/>
      <c r="T70" s="2606"/>
      <c r="U70" s="2606"/>
      <c r="V70" s="2606"/>
      <c r="W70" s="2606"/>
      <c r="X70" s="2606"/>
      <c r="Y70" s="2606"/>
      <c r="Z70" s="2606"/>
      <c r="AA70" s="2606"/>
      <c r="AB70" s="2606"/>
      <c r="AC70" s="2606"/>
    </row>
    <row r="71" spans="1:29" ht="15" thickTop="1">
      <c r="A71" s="2758"/>
      <c r="B71" s="2844" t="s">
        <v>2307</v>
      </c>
      <c r="C71" s="2666"/>
      <c r="D71" s="2666"/>
      <c r="E71" s="2666"/>
      <c r="F71" s="2666"/>
      <c r="G71" s="2666"/>
      <c r="H71" s="2682"/>
      <c r="I71" s="2682"/>
      <c r="J71" s="2682"/>
      <c r="K71" s="2683"/>
      <c r="L71" s="2874"/>
      <c r="M71" s="2875"/>
      <c r="N71" s="2763"/>
      <c r="O71" s="2763"/>
      <c r="P71" s="3506"/>
      <c r="Q71" s="2739"/>
      <c r="R71" s="2606"/>
      <c r="S71" s="2606"/>
      <c r="T71" s="2606"/>
      <c r="U71" s="2606"/>
      <c r="V71" s="2606"/>
      <c r="W71" s="2606"/>
      <c r="X71" s="2606"/>
      <c r="Y71" s="2606"/>
      <c r="Z71" s="2606"/>
      <c r="AA71" s="2606"/>
      <c r="AB71" s="2606"/>
      <c r="AC71" s="2606"/>
    </row>
    <row r="72" spans="1:29" ht="14.4" thickBot="1">
      <c r="A72" s="2758"/>
      <c r="B72" s="2847"/>
      <c r="C72" s="2663">
        <v>100</v>
      </c>
      <c r="D72" s="2663">
        <f>C72-$K22</f>
        <v>100</v>
      </c>
      <c r="E72" s="2663">
        <f>D72-$K22</f>
        <v>100</v>
      </c>
      <c r="F72" s="2663">
        <f>E72-$K22</f>
        <v>100</v>
      </c>
      <c r="G72" s="2663">
        <f>F72-$K22</f>
        <v>100</v>
      </c>
      <c r="H72" s="2663"/>
      <c r="I72" s="2663"/>
      <c r="J72" s="2663"/>
      <c r="K72" s="2663"/>
      <c r="L72" s="2663"/>
      <c r="M72" s="2848"/>
      <c r="N72" s="3464"/>
      <c r="O72" s="3464"/>
      <c r="P72" s="3506"/>
      <c r="Q72" s="2739"/>
      <c r="R72" s="2606"/>
      <c r="S72" s="2606"/>
      <c r="T72" s="2606"/>
      <c r="U72" s="2606"/>
      <c r="V72" s="2606"/>
      <c r="W72" s="2606"/>
      <c r="X72" s="2606"/>
      <c r="Y72" s="2606"/>
      <c r="Z72" s="2606"/>
      <c r="AA72" s="2606"/>
      <c r="AB72" s="2606"/>
      <c r="AC72" s="2606"/>
    </row>
    <row r="73" spans="1:29" s="2746" customFormat="1" ht="14.4" thickTop="1">
      <c r="A73" s="2760"/>
      <c r="B73" s="2844">
        <f>B23</f>
        <v>111</v>
      </c>
      <c r="C73" s="2554"/>
      <c r="D73" s="2554"/>
      <c r="E73" s="2554"/>
      <c r="F73" s="2554"/>
      <c r="G73" s="2666"/>
      <c r="H73" s="2666"/>
      <c r="I73" s="2666"/>
      <c r="J73" s="2666"/>
      <c r="K73" s="2666"/>
      <c r="L73" s="2871"/>
      <c r="M73" s="2872"/>
      <c r="N73" s="2739"/>
      <c r="O73" s="2739"/>
      <c r="P73" s="3506"/>
      <c r="Q73" s="2739"/>
      <c r="R73" s="3043"/>
      <c r="S73" s="3043"/>
      <c r="T73" s="3043"/>
      <c r="U73" s="3043"/>
      <c r="V73" s="3043"/>
      <c r="W73" s="3043"/>
      <c r="X73" s="3043"/>
      <c r="Y73" s="3043"/>
      <c r="Z73" s="3043"/>
      <c r="AA73" s="3043"/>
      <c r="AB73" s="3043"/>
      <c r="AC73" s="3043"/>
    </row>
    <row r="74" spans="1:29" s="2746" customFormat="1" ht="14.4" thickBot="1">
      <c r="A74" s="2760"/>
      <c r="B74" s="2847"/>
      <c r="C74" s="2668"/>
      <c r="D74" s="2660"/>
      <c r="E74" s="2660"/>
      <c r="F74" s="2660"/>
      <c r="G74" s="2660"/>
      <c r="H74" s="2660"/>
      <c r="I74" s="2660"/>
      <c r="J74" s="2660"/>
      <c r="K74" s="2660"/>
      <c r="L74" s="2660"/>
      <c r="M74" s="2842"/>
      <c r="N74" s="3464"/>
      <c r="O74" s="3464"/>
      <c r="P74" s="3506"/>
      <c r="Q74" s="2739"/>
      <c r="R74" s="3043"/>
      <c r="S74" s="3043"/>
      <c r="T74" s="3043"/>
      <c r="U74" s="3043"/>
      <c r="V74" s="3043"/>
      <c r="W74" s="3043"/>
      <c r="X74" s="3043"/>
      <c r="Y74" s="3043"/>
      <c r="Z74" s="3043"/>
      <c r="AA74" s="3043"/>
      <c r="AB74" s="3043"/>
      <c r="AC74" s="3043"/>
    </row>
    <row r="75" spans="1:29" s="2746" customFormat="1" ht="14.4" thickTop="1">
      <c r="A75" s="2760"/>
      <c r="B75" s="2844">
        <f>B24</f>
        <v>111</v>
      </c>
      <c r="C75" s="2554"/>
      <c r="D75" s="2554"/>
      <c r="E75" s="2554"/>
      <c r="F75" s="2554"/>
      <c r="G75" s="2666"/>
      <c r="H75" s="2666"/>
      <c r="I75" s="2666"/>
      <c r="J75" s="2666"/>
      <c r="K75" s="2666"/>
      <c r="L75" s="2666"/>
      <c r="M75" s="2872"/>
      <c r="N75" s="2739"/>
      <c r="O75" s="2739"/>
      <c r="P75" s="3506"/>
      <c r="Q75" s="2739"/>
      <c r="R75" s="3043"/>
      <c r="S75" s="3043"/>
      <c r="T75" s="3043"/>
      <c r="U75" s="3043"/>
      <c r="V75" s="3043"/>
      <c r="W75" s="3043"/>
      <c r="X75" s="3043"/>
      <c r="Y75" s="3043"/>
      <c r="Z75" s="3043"/>
      <c r="AA75" s="3043"/>
      <c r="AB75" s="3043"/>
      <c r="AC75" s="3043"/>
    </row>
    <row r="76" spans="1:29" s="2746" customFormat="1" ht="14.4" thickBot="1">
      <c r="A76" s="2760"/>
      <c r="B76" s="2847"/>
      <c r="C76" s="2668"/>
      <c r="D76" s="2660"/>
      <c r="E76" s="2660"/>
      <c r="F76" s="2660"/>
      <c r="G76" s="2660"/>
      <c r="H76" s="2660"/>
      <c r="I76" s="2660"/>
      <c r="J76" s="2660"/>
      <c r="K76" s="2660"/>
      <c r="L76" s="2660"/>
      <c r="M76" s="2842"/>
      <c r="N76" s="3464"/>
      <c r="O76" s="3464"/>
      <c r="P76" s="3506"/>
      <c r="Q76" s="2739"/>
      <c r="R76" s="3043"/>
      <c r="S76" s="3043"/>
      <c r="T76" s="3043"/>
      <c r="U76" s="3043"/>
      <c r="V76" s="3043"/>
      <c r="W76" s="3043"/>
      <c r="X76" s="3043"/>
      <c r="Y76" s="3043"/>
      <c r="Z76" s="3043"/>
      <c r="AA76" s="3043"/>
      <c r="AB76" s="3043"/>
      <c r="AC76" s="3043"/>
    </row>
    <row r="77" spans="1:29" s="2795" customFormat="1" ht="14.4" thickTop="1">
      <c r="A77" s="2852"/>
      <c r="B77" s="2844">
        <f>B25</f>
        <v>111</v>
      </c>
      <c r="C77" s="2666"/>
      <c r="D77" s="2666"/>
      <c r="E77" s="2666"/>
      <c r="F77" s="2666"/>
      <c r="G77" s="2666"/>
      <c r="H77" s="2667"/>
      <c r="I77" s="2667"/>
      <c r="J77" s="2667"/>
      <c r="K77" s="2667"/>
      <c r="L77" s="2853"/>
      <c r="M77" s="2854"/>
      <c r="N77" s="2759"/>
      <c r="O77" s="2759"/>
      <c r="P77" s="3508"/>
      <c r="Q77" s="2759"/>
      <c r="R77" s="3465"/>
      <c r="S77" s="3465"/>
      <c r="T77" s="3465"/>
      <c r="U77" s="3465"/>
      <c r="V77" s="3465"/>
      <c r="W77" s="3465"/>
      <c r="X77" s="3465"/>
      <c r="Y77" s="3465"/>
      <c r="Z77" s="3465"/>
      <c r="AA77" s="3465"/>
      <c r="AB77" s="3465"/>
      <c r="AC77" s="3465"/>
    </row>
    <row r="78" spans="1:29" s="2795" customFormat="1" ht="14.4" thickBot="1">
      <c r="A78" s="2852"/>
      <c r="B78" s="2847"/>
      <c r="C78" s="2668"/>
      <c r="D78" s="2668"/>
      <c r="E78" s="2668"/>
      <c r="F78" s="2668"/>
      <c r="G78" s="2660"/>
      <c r="H78" s="2660"/>
      <c r="I78" s="2660"/>
      <c r="J78" s="2660"/>
      <c r="K78" s="2660"/>
      <c r="L78" s="2660"/>
      <c r="M78" s="2842"/>
      <c r="N78" s="2759"/>
      <c r="O78" s="2759"/>
      <c r="P78" s="3508"/>
      <c r="Q78" s="2759"/>
      <c r="R78" s="3465"/>
      <c r="S78" s="3465"/>
      <c r="T78" s="3465"/>
      <c r="U78" s="3465"/>
      <c r="V78" s="3465"/>
      <c r="W78" s="3465"/>
      <c r="X78" s="3465"/>
      <c r="Y78" s="3465"/>
      <c r="Z78" s="3465"/>
      <c r="AA78" s="3465"/>
      <c r="AB78" s="3465"/>
      <c r="AC78" s="3465"/>
    </row>
    <row r="79" spans="1:29" ht="29.4" thickTop="1">
      <c r="A79" s="2767" t="s">
        <v>2141</v>
      </c>
      <c r="B79" s="2837" t="s">
        <v>2308</v>
      </c>
      <c r="C79" s="2674" t="str">
        <f>C26</f>
        <v>车库</v>
      </c>
      <c r="D79" s="2658"/>
      <c r="E79" s="2658"/>
      <c r="F79" s="2658"/>
      <c r="G79" s="2658"/>
      <c r="H79" s="2658"/>
      <c r="I79" s="2658"/>
      <c r="J79" s="2658"/>
      <c r="K79" s="2659"/>
      <c r="L79" s="2838"/>
      <c r="M79" s="2839"/>
      <c r="N79" s="2763"/>
      <c r="O79" s="2763"/>
      <c r="P79" s="3506"/>
      <c r="Q79" s="2739"/>
      <c r="R79" s="2606"/>
      <c r="S79" s="2606"/>
      <c r="T79" s="2606"/>
      <c r="U79" s="2606"/>
      <c r="V79" s="2606"/>
      <c r="W79" s="2606"/>
      <c r="X79" s="2606"/>
      <c r="Y79" s="2606"/>
      <c r="Z79" s="2606"/>
      <c r="AA79" s="2606"/>
      <c r="AB79" s="2606"/>
      <c r="AC79" s="2606"/>
    </row>
    <row r="80" spans="1:29" ht="14.4" thickBot="1">
      <c r="A80" s="2758"/>
      <c r="B80" s="2847"/>
      <c r="C80" s="2663">
        <v>100</v>
      </c>
      <c r="D80" s="2663">
        <f t="shared" ref="D80:M80" si="17">C80-$K26</f>
        <v>99</v>
      </c>
      <c r="E80" s="2663">
        <f t="shared" si="17"/>
        <v>98</v>
      </c>
      <c r="F80" s="2663">
        <f t="shared" si="17"/>
        <v>97</v>
      </c>
      <c r="G80" s="2663">
        <f t="shared" si="17"/>
        <v>96</v>
      </c>
      <c r="H80" s="2663">
        <f t="shared" si="17"/>
        <v>95</v>
      </c>
      <c r="I80" s="2663">
        <f t="shared" si="17"/>
        <v>94</v>
      </c>
      <c r="J80" s="2663">
        <f t="shared" si="17"/>
        <v>93</v>
      </c>
      <c r="K80" s="2663">
        <f t="shared" si="17"/>
        <v>92</v>
      </c>
      <c r="L80" s="2663">
        <f t="shared" si="17"/>
        <v>91</v>
      </c>
      <c r="M80" s="2848">
        <f t="shared" si="17"/>
        <v>90</v>
      </c>
      <c r="N80" s="3464"/>
      <c r="O80" s="3464"/>
      <c r="P80" s="3506"/>
      <c r="Q80" s="2739"/>
      <c r="R80" s="2606"/>
      <c r="S80" s="2606"/>
      <c r="T80" s="2606"/>
      <c r="U80" s="2606"/>
      <c r="V80" s="2606"/>
      <c r="W80" s="2606"/>
      <c r="X80" s="2606"/>
      <c r="Y80" s="2606"/>
      <c r="Z80" s="2606"/>
      <c r="AA80" s="2606"/>
      <c r="AB80" s="2606"/>
      <c r="AC80" s="2606"/>
    </row>
    <row r="81" spans="1:29" ht="15" thickTop="1">
      <c r="A81" s="2758"/>
      <c r="B81" s="2844" t="s">
        <v>2309</v>
      </c>
      <c r="C81" s="2658"/>
      <c r="D81" s="2658"/>
      <c r="E81" s="2658"/>
      <c r="F81" s="2658"/>
      <c r="G81" s="2658"/>
      <c r="H81" s="2658"/>
      <c r="I81" s="2658"/>
      <c r="J81" s="2658"/>
      <c r="K81" s="2659"/>
      <c r="L81" s="2838"/>
      <c r="M81" s="2839"/>
      <c r="N81" s="2739"/>
      <c r="O81" s="2739"/>
      <c r="P81" s="3506"/>
      <c r="Q81" s="2739"/>
      <c r="R81" s="2606"/>
      <c r="S81" s="2606"/>
      <c r="T81" s="2606"/>
      <c r="U81" s="2606"/>
      <c r="V81" s="2606"/>
      <c r="W81" s="2606"/>
      <c r="X81" s="2606"/>
      <c r="Y81" s="2606"/>
      <c r="Z81" s="2606"/>
      <c r="AA81" s="2606"/>
      <c r="AB81" s="2606"/>
      <c r="AC81" s="2606"/>
    </row>
    <row r="82" spans="1:29" s="2795" customFormat="1" ht="14.4" thickBot="1">
      <c r="A82" s="2852"/>
      <c r="B82" s="2847"/>
      <c r="C82" s="2668"/>
      <c r="D82" s="2660"/>
      <c r="E82" s="2660"/>
      <c r="F82" s="2660"/>
      <c r="G82" s="2660"/>
      <c r="H82" s="2660"/>
      <c r="I82" s="2660"/>
      <c r="J82" s="2660"/>
      <c r="K82" s="2660"/>
      <c r="L82" s="2660"/>
      <c r="M82" s="2842"/>
      <c r="N82" s="3464"/>
      <c r="O82" s="3464"/>
      <c r="P82" s="3508"/>
      <c r="Q82" s="2759"/>
      <c r="R82" s="3465"/>
      <c r="S82" s="3465"/>
      <c r="T82" s="3465"/>
      <c r="U82" s="3465"/>
      <c r="V82" s="3465"/>
      <c r="W82" s="3465"/>
      <c r="X82" s="3465"/>
      <c r="Y82" s="3465"/>
      <c r="Z82" s="3465"/>
      <c r="AA82" s="3465"/>
      <c r="AB82" s="3465"/>
      <c r="AC82" s="3465"/>
    </row>
    <row r="83" spans="1:29" ht="15" thickTop="1">
      <c r="A83" s="2796"/>
      <c r="B83" s="2844" t="s">
        <v>2194</v>
      </c>
      <c r="C83" s="2548" t="s">
        <v>3568</v>
      </c>
      <c r="D83" s="2666"/>
      <c r="E83" s="2682"/>
      <c r="F83" s="2682"/>
      <c r="G83" s="2682"/>
      <c r="H83" s="2682"/>
      <c r="I83" s="2682"/>
      <c r="J83" s="2682"/>
      <c r="K83" s="2683"/>
      <c r="L83" s="2874"/>
      <c r="M83" s="2875"/>
      <c r="N83" s="2763"/>
      <c r="O83" s="2763"/>
      <c r="P83" s="3506"/>
      <c r="Q83" s="2739"/>
      <c r="R83" s="2606"/>
      <c r="S83" s="2606"/>
      <c r="T83" s="2606"/>
      <c r="U83" s="2606"/>
      <c r="V83" s="2606"/>
      <c r="W83" s="2606"/>
      <c r="X83" s="2606"/>
      <c r="Y83" s="2606"/>
      <c r="Z83" s="2606"/>
      <c r="AA83" s="2606"/>
      <c r="AB83" s="2606"/>
      <c r="AC83" s="2606"/>
    </row>
    <row r="84" spans="1:29" ht="14.4" thickBot="1">
      <c r="A84" s="2758"/>
      <c r="B84" s="2847"/>
      <c r="C84" s="2663">
        <v>100</v>
      </c>
      <c r="D84" s="2663">
        <f t="shared" ref="D84:M84" si="18">C84-$K28</f>
        <v>99</v>
      </c>
      <c r="E84" s="2663">
        <f t="shared" si="18"/>
        <v>98</v>
      </c>
      <c r="F84" s="2663">
        <f t="shared" si="18"/>
        <v>97</v>
      </c>
      <c r="G84" s="2663">
        <f t="shared" si="18"/>
        <v>96</v>
      </c>
      <c r="H84" s="2663">
        <f t="shared" si="18"/>
        <v>95</v>
      </c>
      <c r="I84" s="2663">
        <f t="shared" si="18"/>
        <v>94</v>
      </c>
      <c r="J84" s="2663">
        <f t="shared" si="18"/>
        <v>93</v>
      </c>
      <c r="K84" s="2663">
        <f t="shared" si="18"/>
        <v>92</v>
      </c>
      <c r="L84" s="2663">
        <f t="shared" si="18"/>
        <v>91</v>
      </c>
      <c r="M84" s="2848">
        <f t="shared" si="18"/>
        <v>90</v>
      </c>
      <c r="N84" s="3464"/>
      <c r="O84" s="3464"/>
      <c r="P84" s="3506"/>
      <c r="Q84" s="2739"/>
      <c r="R84" s="2606"/>
      <c r="S84" s="2606"/>
      <c r="T84" s="2606"/>
      <c r="U84" s="2606"/>
      <c r="V84" s="2606"/>
      <c r="W84" s="2606"/>
      <c r="X84" s="2606"/>
      <c r="Y84" s="2606"/>
      <c r="Z84" s="2606"/>
      <c r="AA84" s="2606"/>
      <c r="AB84" s="2606"/>
      <c r="AC84" s="2606"/>
    </row>
    <row r="85" spans="1:29" ht="15" thickTop="1">
      <c r="A85" s="2796"/>
      <c r="B85" s="2844" t="s">
        <v>2310</v>
      </c>
      <c r="C85" s="2676" t="str">
        <f>C86&amp;"(含)"&amp;"-"&amp;D86</f>
        <v>0.5(含)-0.6</v>
      </c>
      <c r="D85" s="2676" t="str">
        <f>D86&amp;"(含)"&amp;"-"&amp;E86</f>
        <v>0.6(含)-0.7</v>
      </c>
      <c r="E85" s="2676" t="str">
        <f>E86&amp;"(含)"&amp;"-"&amp;F86</f>
        <v>0.7(含)-0.8</v>
      </c>
      <c r="F85" s="2676" t="str">
        <f>F86&amp;"(含)"&amp;"-"&amp;G86</f>
        <v>0.8(含)-0.9</v>
      </c>
      <c r="G85" s="2676" t="str">
        <f>G86&amp;"(含)"&amp;"-"&amp;ROUND(H86,0)&amp;"(含)"</f>
        <v>0.9(含)-1(含)</v>
      </c>
      <c r="H85" s="2676"/>
      <c r="I85" s="2682"/>
      <c r="J85" s="2682"/>
      <c r="K85" s="2683"/>
      <c r="L85" s="2874"/>
      <c r="M85" s="2875"/>
      <c r="N85" s="2763"/>
      <c r="O85" s="2763"/>
      <c r="P85" s="3506"/>
      <c r="Q85" s="2739"/>
      <c r="R85" s="2606"/>
      <c r="S85" s="2606"/>
      <c r="T85" s="2606"/>
      <c r="U85" s="2606"/>
      <c r="V85" s="2606"/>
      <c r="W85" s="2606"/>
      <c r="X85" s="2606"/>
      <c r="Y85" s="2606"/>
      <c r="Z85" s="2606"/>
      <c r="AA85" s="2606"/>
      <c r="AB85" s="2606"/>
      <c r="AC85" s="2606"/>
    </row>
    <row r="86" spans="1:29">
      <c r="A86" s="2796"/>
      <c r="B86" s="2849"/>
      <c r="C86" s="2750">
        <v>0.5</v>
      </c>
      <c r="D86" s="2750">
        <v>0.6</v>
      </c>
      <c r="E86" s="2750">
        <v>0.7</v>
      </c>
      <c r="F86" s="2750">
        <v>0.8</v>
      </c>
      <c r="G86" s="2750">
        <v>0.9</v>
      </c>
      <c r="H86" s="2750">
        <v>1.0001</v>
      </c>
      <c r="I86" s="3511"/>
      <c r="J86" s="3511"/>
      <c r="K86" s="3512"/>
      <c r="L86" s="3513"/>
      <c r="M86" s="3514"/>
      <c r="N86" s="2763"/>
      <c r="O86" s="2763"/>
      <c r="P86" s="3506"/>
      <c r="Q86" s="2739"/>
      <c r="R86" s="2606"/>
      <c r="S86" s="2606"/>
      <c r="T86" s="2606"/>
      <c r="U86" s="2606"/>
      <c r="V86" s="2606"/>
      <c r="W86" s="2606"/>
      <c r="X86" s="2606"/>
      <c r="Y86" s="2606"/>
      <c r="Z86" s="2606"/>
      <c r="AA86" s="2606"/>
      <c r="AB86" s="2606"/>
      <c r="AC86" s="2606"/>
    </row>
    <row r="87" spans="1:29" ht="14.4" thickBot="1">
      <c r="A87" s="2758"/>
      <c r="B87" s="2847"/>
      <c r="C87" s="2677">
        <v>100</v>
      </c>
      <c r="D87" s="2663">
        <f>C87+$K$29</f>
        <v>101</v>
      </c>
      <c r="E87" s="2663">
        <f t="shared" ref="E87:M87" si="19">D87+$K$29</f>
        <v>102</v>
      </c>
      <c r="F87" s="2663">
        <f t="shared" si="19"/>
        <v>103</v>
      </c>
      <c r="G87" s="2663">
        <f t="shared" si="19"/>
        <v>104</v>
      </c>
      <c r="H87" s="2663">
        <f t="shared" si="19"/>
        <v>105</v>
      </c>
      <c r="I87" s="2663">
        <f t="shared" si="19"/>
        <v>106</v>
      </c>
      <c r="J87" s="2663">
        <f t="shared" si="19"/>
        <v>107</v>
      </c>
      <c r="K87" s="2663">
        <f t="shared" si="19"/>
        <v>108</v>
      </c>
      <c r="L87" s="2663">
        <f t="shared" si="19"/>
        <v>109</v>
      </c>
      <c r="M87" s="2663">
        <f t="shared" si="19"/>
        <v>110</v>
      </c>
      <c r="N87" s="3464"/>
      <c r="O87" s="3464"/>
      <c r="P87" s="3506"/>
      <c r="Q87" s="2739"/>
      <c r="R87" s="2606"/>
      <c r="S87" s="2606"/>
      <c r="T87" s="2606"/>
      <c r="U87" s="2606"/>
      <c r="V87" s="2606"/>
      <c r="W87" s="2606"/>
      <c r="X87" s="2606"/>
      <c r="Y87" s="2606"/>
      <c r="Z87" s="2606"/>
      <c r="AA87" s="2606"/>
      <c r="AB87" s="2606"/>
      <c r="AC87" s="2606"/>
    </row>
    <row r="88" spans="1:29" ht="15" thickTop="1">
      <c r="A88" s="2796"/>
      <c r="B88" s="2849" t="s">
        <v>2311</v>
      </c>
      <c r="C88" s="2658"/>
      <c r="D88" s="2658"/>
      <c r="E88" s="2658"/>
      <c r="F88" s="2658"/>
      <c r="G88" s="2658"/>
      <c r="H88" s="2658"/>
      <c r="I88" s="2658"/>
      <c r="J88" s="2658"/>
      <c r="K88" s="2659"/>
      <c r="L88" s="2838"/>
      <c r="M88" s="2839"/>
      <c r="N88" s="2763"/>
      <c r="O88" s="2763"/>
      <c r="P88" s="3506"/>
      <c r="Q88" s="2739"/>
      <c r="R88" s="2606"/>
      <c r="S88" s="2606"/>
      <c r="T88" s="2606"/>
      <c r="U88" s="2606"/>
      <c r="V88" s="2606"/>
      <c r="W88" s="2606"/>
      <c r="X88" s="2606"/>
      <c r="Y88" s="2606"/>
      <c r="Z88" s="2606"/>
      <c r="AA88" s="2606"/>
      <c r="AB88" s="2606"/>
      <c r="AC88" s="2606"/>
    </row>
    <row r="89" spans="1:29" ht="14.4" thickBot="1">
      <c r="A89" s="2758"/>
      <c r="B89" s="2847"/>
      <c r="C89" s="2677">
        <v>100</v>
      </c>
      <c r="D89" s="2663">
        <f t="shared" ref="D89:M89" si="20">C89+$K30</f>
        <v>101</v>
      </c>
      <c r="E89" s="2663">
        <f t="shared" si="20"/>
        <v>102</v>
      </c>
      <c r="F89" s="2663">
        <f t="shared" si="20"/>
        <v>103</v>
      </c>
      <c r="G89" s="2663">
        <f t="shared" si="20"/>
        <v>104</v>
      </c>
      <c r="H89" s="2663">
        <f t="shared" si="20"/>
        <v>105</v>
      </c>
      <c r="I89" s="2663">
        <f t="shared" si="20"/>
        <v>106</v>
      </c>
      <c r="J89" s="2663">
        <f t="shared" si="20"/>
        <v>107</v>
      </c>
      <c r="K89" s="2663">
        <f t="shared" si="20"/>
        <v>108</v>
      </c>
      <c r="L89" s="2663">
        <f t="shared" si="20"/>
        <v>109</v>
      </c>
      <c r="M89" s="2663">
        <f t="shared" si="20"/>
        <v>110</v>
      </c>
      <c r="N89" s="3464"/>
      <c r="O89" s="3464"/>
      <c r="P89" s="3506"/>
      <c r="Q89" s="2739"/>
      <c r="R89" s="2606"/>
      <c r="S89" s="2606"/>
      <c r="T89" s="2606"/>
      <c r="U89" s="2606"/>
      <c r="V89" s="2606"/>
      <c r="W89" s="2606"/>
      <c r="X89" s="2606"/>
      <c r="Y89" s="2606"/>
      <c r="Z89" s="2606"/>
      <c r="AA89" s="2606"/>
      <c r="AB89" s="2606"/>
      <c r="AC89" s="2606"/>
    </row>
    <row r="90" spans="1:29" s="2795" customFormat="1" ht="15" thickTop="1">
      <c r="A90" s="2787"/>
      <c r="B90" s="2844" t="s">
        <v>2312</v>
      </c>
      <c r="C90" s="2676" t="str">
        <f>C91&amp;"(含)"&amp;"-"&amp;D91</f>
        <v>0(含)-20</v>
      </c>
      <c r="D90" s="2676" t="str">
        <f t="shared" ref="D90:L90" si="21">D91&amp;"(含)"&amp;"-"&amp;E91</f>
        <v>20(含)-30</v>
      </c>
      <c r="E90" s="2676" t="str">
        <f t="shared" si="21"/>
        <v>30(含)-40</v>
      </c>
      <c r="F90" s="2676" t="str">
        <f t="shared" si="21"/>
        <v>40(含)-50</v>
      </c>
      <c r="G90" s="2676" t="str">
        <f t="shared" si="21"/>
        <v>50(含)-</v>
      </c>
      <c r="H90" s="2676" t="str">
        <f t="shared" si="21"/>
        <v>(含)-</v>
      </c>
      <c r="I90" s="2676" t="str">
        <f t="shared" si="21"/>
        <v>(含)-</v>
      </c>
      <c r="J90" s="2676" t="str">
        <f t="shared" si="21"/>
        <v>(含)-</v>
      </c>
      <c r="K90" s="2676" t="str">
        <f t="shared" si="21"/>
        <v>(含)-</v>
      </c>
      <c r="L90" s="2676" t="str">
        <f t="shared" si="21"/>
        <v>(含)-</v>
      </c>
      <c r="M90" s="3469" t="str">
        <f>M91&amp;"(含)"&amp;"-"&amp;P91</f>
        <v>(含)-</v>
      </c>
      <c r="N90" s="2759"/>
      <c r="O90" s="2759"/>
      <c r="P90" s="3508"/>
      <c r="Q90" s="2759"/>
      <c r="R90" s="3465"/>
      <c r="S90" s="3465"/>
      <c r="T90" s="3465"/>
      <c r="U90" s="3465"/>
      <c r="V90" s="3465"/>
      <c r="W90" s="3465"/>
      <c r="X90" s="3465"/>
      <c r="Y90" s="3465"/>
      <c r="Z90" s="3465"/>
      <c r="AA90" s="3465"/>
      <c r="AB90" s="3465"/>
      <c r="AC90" s="3465"/>
    </row>
    <row r="91" spans="1:29" s="2795" customFormat="1">
      <c r="A91" s="2787"/>
      <c r="B91" s="2849"/>
      <c r="C91" s="2650">
        <v>0</v>
      </c>
      <c r="D91" s="2650">
        <v>20</v>
      </c>
      <c r="E91" s="2650">
        <v>30</v>
      </c>
      <c r="F91" s="2650">
        <v>40</v>
      </c>
      <c r="G91" s="2650">
        <v>50</v>
      </c>
      <c r="H91" s="2650"/>
      <c r="I91" s="2650"/>
      <c r="J91" s="2687"/>
      <c r="K91" s="2687"/>
      <c r="L91" s="2880"/>
      <c r="M91" s="2881"/>
      <c r="N91" s="2759"/>
      <c r="O91" s="2759"/>
      <c r="P91" s="3508"/>
      <c r="Q91" s="2759"/>
      <c r="R91" s="3465"/>
      <c r="S91" s="3465"/>
      <c r="T91" s="3465"/>
      <c r="U91" s="3465"/>
      <c r="V91" s="3465"/>
      <c r="W91" s="3465"/>
      <c r="X91" s="3465"/>
      <c r="Y91" s="3465"/>
      <c r="Z91" s="3465"/>
      <c r="AA91" s="3465"/>
      <c r="AB91" s="3465"/>
      <c r="AC91" s="3465"/>
    </row>
    <row r="92" spans="1:29" s="2795" customFormat="1" ht="14.4" thickBot="1">
      <c r="A92" s="2852"/>
      <c r="B92" s="2847"/>
      <c r="C92" s="2668">
        <v>100</v>
      </c>
      <c r="D92" s="2660">
        <f>C92+K31</f>
        <v>102</v>
      </c>
      <c r="E92" s="2660">
        <f>D92+K31</f>
        <v>104</v>
      </c>
      <c r="F92" s="2660">
        <f>E92+K31</f>
        <v>106</v>
      </c>
      <c r="G92" s="2660"/>
      <c r="H92" s="2660"/>
      <c r="I92" s="2660"/>
      <c r="J92" s="2660"/>
      <c r="K92" s="2660"/>
      <c r="L92" s="2660"/>
      <c r="M92" s="2842"/>
      <c r="N92" s="2759"/>
      <c r="O92" s="2759"/>
      <c r="P92" s="3508"/>
      <c r="Q92" s="2759"/>
      <c r="R92" s="3465"/>
      <c r="S92" s="3465"/>
      <c r="T92" s="3465"/>
      <c r="U92" s="3465"/>
      <c r="V92" s="3465"/>
      <c r="W92" s="3465"/>
      <c r="X92" s="3465"/>
      <c r="Y92" s="3465"/>
      <c r="Z92" s="3465"/>
      <c r="AA92" s="3465"/>
      <c r="AB92" s="3465"/>
      <c r="AC92" s="3465"/>
    </row>
    <row r="93" spans="1:29" ht="15" thickTop="1">
      <c r="A93" s="2796"/>
      <c r="B93" s="2844" t="s">
        <v>2313</v>
      </c>
      <c r="C93" s="2548" t="s">
        <v>3566</v>
      </c>
      <c r="D93" s="2666"/>
      <c r="E93" s="2682"/>
      <c r="F93" s="2682"/>
      <c r="G93" s="2682"/>
      <c r="H93" s="2682"/>
      <c r="I93" s="2682"/>
      <c r="J93" s="2682"/>
      <c r="K93" s="2683"/>
      <c r="L93" s="2874"/>
      <c r="M93" s="2875"/>
      <c r="N93" s="2763"/>
      <c r="O93" s="2763"/>
      <c r="P93" s="3506"/>
      <c r="Q93" s="2739"/>
      <c r="R93" s="2606"/>
      <c r="S93" s="2606"/>
      <c r="T93" s="2606"/>
      <c r="U93" s="2606"/>
      <c r="V93" s="2606"/>
      <c r="W93" s="2606"/>
      <c r="X93" s="2606"/>
      <c r="Y93" s="2606"/>
      <c r="Z93" s="2606"/>
      <c r="AA93" s="2606"/>
      <c r="AB93" s="2606"/>
      <c r="AC93" s="2606"/>
    </row>
    <row r="94" spans="1:29" ht="14.4" thickBot="1">
      <c r="A94" s="2758"/>
      <c r="B94" s="2847"/>
      <c r="C94" s="2663">
        <v>100</v>
      </c>
      <c r="D94" s="2663">
        <f t="shared" ref="D94:M94" si="22">C94-$K32</f>
        <v>99</v>
      </c>
      <c r="E94" s="2663">
        <f t="shared" si="22"/>
        <v>98</v>
      </c>
      <c r="F94" s="2663">
        <f t="shared" si="22"/>
        <v>97</v>
      </c>
      <c r="G94" s="2663">
        <f t="shared" si="22"/>
        <v>96</v>
      </c>
      <c r="H94" s="2663">
        <f t="shared" si="22"/>
        <v>95</v>
      </c>
      <c r="I94" s="2663">
        <f t="shared" si="22"/>
        <v>94</v>
      </c>
      <c r="J94" s="2663">
        <f t="shared" si="22"/>
        <v>93</v>
      </c>
      <c r="K94" s="2663">
        <f t="shared" si="22"/>
        <v>92</v>
      </c>
      <c r="L94" s="2663">
        <f t="shared" si="22"/>
        <v>91</v>
      </c>
      <c r="M94" s="2848">
        <f t="shared" si="22"/>
        <v>90</v>
      </c>
      <c r="N94" s="3464"/>
      <c r="O94" s="3464"/>
      <c r="P94" s="3506"/>
      <c r="Q94" s="2739"/>
      <c r="R94" s="2606"/>
      <c r="S94" s="2606"/>
      <c r="T94" s="2606"/>
      <c r="U94" s="2606"/>
      <c r="V94" s="2606"/>
      <c r="W94" s="2606"/>
      <c r="X94" s="2606"/>
      <c r="Y94" s="2606"/>
      <c r="Z94" s="2606"/>
      <c r="AA94" s="2606"/>
      <c r="AB94" s="2606"/>
      <c r="AC94" s="2606"/>
    </row>
    <row r="95" spans="1:29" ht="15" thickTop="1">
      <c r="A95" s="2796"/>
      <c r="B95" s="2844" t="s">
        <v>2314</v>
      </c>
      <c r="C95" s="2657" t="s">
        <v>3567</v>
      </c>
      <c r="D95" s="2658"/>
      <c r="E95" s="2658"/>
      <c r="F95" s="2658"/>
      <c r="G95" s="2658"/>
      <c r="H95" s="2658"/>
      <c r="I95" s="2658"/>
      <c r="J95" s="2658"/>
      <c r="K95" s="2659"/>
      <c r="L95" s="2838"/>
      <c r="M95" s="2839"/>
      <c r="N95" s="2763"/>
      <c r="O95" s="2763"/>
      <c r="P95" s="3506"/>
      <c r="Q95" s="2739"/>
      <c r="R95" s="2606"/>
      <c r="S95" s="2606"/>
      <c r="T95" s="2606"/>
      <c r="U95" s="2606"/>
      <c r="V95" s="2606"/>
      <c r="W95" s="2606"/>
      <c r="X95" s="2606"/>
      <c r="Y95" s="2606"/>
      <c r="Z95" s="2606"/>
      <c r="AA95" s="2606"/>
      <c r="AB95" s="2606"/>
      <c r="AC95" s="2606"/>
    </row>
    <row r="96" spans="1:29" ht="14.4" thickBot="1">
      <c r="A96" s="2758"/>
      <c r="B96" s="2847"/>
      <c r="C96" s="2663">
        <v>100</v>
      </c>
      <c r="D96" s="2663">
        <f>C96-$K33</f>
        <v>99</v>
      </c>
      <c r="E96" s="2663">
        <f>D96-$K33</f>
        <v>98</v>
      </c>
      <c r="F96" s="2663">
        <f>E96-$K33</f>
        <v>97</v>
      </c>
      <c r="G96" s="2663">
        <f>F96-$K33</f>
        <v>96</v>
      </c>
      <c r="H96" s="2663"/>
      <c r="I96" s="2663"/>
      <c r="J96" s="2663"/>
      <c r="K96" s="2663"/>
      <c r="L96" s="2663"/>
      <c r="M96" s="2848"/>
      <c r="N96" s="3464"/>
      <c r="O96" s="3464"/>
      <c r="P96" s="3506"/>
      <c r="Q96" s="2739"/>
      <c r="R96" s="2606"/>
      <c r="S96" s="2606"/>
      <c r="T96" s="2606"/>
      <c r="U96" s="2606"/>
      <c r="V96" s="2606"/>
      <c r="W96" s="2606"/>
      <c r="X96" s="2606"/>
      <c r="Y96" s="2606"/>
      <c r="Z96" s="2606"/>
      <c r="AA96" s="2606"/>
      <c r="AB96" s="2606"/>
      <c r="AC96" s="2606"/>
    </row>
    <row r="97" spans="1:29" ht="14.4" thickTop="1">
      <c r="A97" s="2796"/>
      <c r="B97" s="3470">
        <f>B34</f>
        <v>111</v>
      </c>
      <c r="C97" s="2554"/>
      <c r="D97" s="2554"/>
      <c r="E97" s="2554"/>
      <c r="F97" s="2554"/>
      <c r="G97" s="2666"/>
      <c r="H97" s="2667"/>
      <c r="I97" s="2667"/>
      <c r="J97" s="2667"/>
      <c r="K97" s="2667"/>
      <c r="L97" s="2853"/>
      <c r="M97" s="2854"/>
      <c r="N97" s="3464"/>
      <c r="O97" s="3464"/>
      <c r="P97" s="3515"/>
      <c r="Q97" s="3464"/>
      <c r="R97" s="2606"/>
      <c r="S97" s="2606"/>
      <c r="T97" s="2606"/>
      <c r="U97" s="2606"/>
      <c r="V97" s="2606"/>
      <c r="W97" s="2606"/>
      <c r="X97" s="2606"/>
      <c r="Y97" s="2606"/>
      <c r="Z97" s="2606"/>
      <c r="AA97" s="2606"/>
      <c r="AB97" s="2606"/>
      <c r="AC97" s="2606"/>
    </row>
    <row r="98" spans="1:29" ht="14.4" thickBot="1">
      <c r="A98" s="2758"/>
      <c r="B98" s="2847"/>
      <c r="C98" s="2668"/>
      <c r="D98" s="2660"/>
      <c r="E98" s="2660"/>
      <c r="F98" s="2660"/>
      <c r="G98" s="2668"/>
      <c r="H98" s="2669"/>
      <c r="I98" s="2669"/>
      <c r="J98" s="2669"/>
      <c r="K98" s="2669"/>
      <c r="L98" s="2669"/>
      <c r="M98" s="2860"/>
      <c r="N98" s="3464"/>
      <c r="O98" s="3464"/>
      <c r="P98" s="3506"/>
      <c r="Q98" s="2739"/>
      <c r="R98" s="2606"/>
      <c r="S98" s="2606"/>
      <c r="T98" s="2606"/>
      <c r="U98" s="2606"/>
      <c r="V98" s="2606"/>
      <c r="W98" s="2606"/>
      <c r="X98" s="2606"/>
      <c r="Y98" s="2606"/>
      <c r="Z98" s="2606"/>
      <c r="AA98" s="2606"/>
      <c r="AB98" s="2606"/>
      <c r="AC98" s="2606"/>
    </row>
    <row r="99" spans="1:29" s="2795" customFormat="1" ht="14.4" thickTop="1">
      <c r="A99" s="2787"/>
      <c r="B99" s="2844">
        <f>B35</f>
        <v>111</v>
      </c>
      <c r="C99" s="2554"/>
      <c r="D99" s="2554"/>
      <c r="E99" s="2554"/>
      <c r="F99" s="2554"/>
      <c r="G99" s="2666"/>
      <c r="H99" s="2667"/>
      <c r="I99" s="2667"/>
      <c r="J99" s="2667"/>
      <c r="K99" s="2667"/>
      <c r="L99" s="2853"/>
      <c r="M99" s="2854"/>
      <c r="N99" s="2759"/>
      <c r="O99" s="2759"/>
      <c r="P99" s="3508"/>
      <c r="Q99" s="2759"/>
      <c r="R99" s="3465"/>
      <c r="S99" s="3465"/>
      <c r="T99" s="3465"/>
      <c r="U99" s="3465"/>
      <c r="V99" s="3465"/>
      <c r="W99" s="3465"/>
      <c r="X99" s="3465"/>
      <c r="Y99" s="3465"/>
      <c r="Z99" s="3465"/>
      <c r="AA99" s="3465"/>
      <c r="AB99" s="3465"/>
      <c r="AC99" s="3465"/>
    </row>
    <row r="100" spans="1:29" s="2795" customFormat="1" ht="14.4" thickBot="1">
      <c r="A100" s="2852"/>
      <c r="B100" s="2841"/>
      <c r="C100" s="2668"/>
      <c r="D100" s="2660"/>
      <c r="E100" s="2660"/>
      <c r="F100" s="2660"/>
      <c r="G100" s="2668"/>
      <c r="H100" s="2669"/>
      <c r="I100" s="2669"/>
      <c r="J100" s="2669"/>
      <c r="K100" s="2669"/>
      <c r="L100" s="2669"/>
      <c r="M100" s="2860"/>
      <c r="N100" s="2759"/>
      <c r="O100" s="2759"/>
      <c r="P100" s="3508"/>
      <c r="Q100" s="2759"/>
      <c r="R100" s="3465"/>
      <c r="S100" s="3465"/>
      <c r="T100" s="3465"/>
      <c r="U100" s="3465"/>
      <c r="V100" s="3465"/>
      <c r="W100" s="3465"/>
      <c r="X100" s="3465"/>
      <c r="Y100" s="3465"/>
      <c r="Z100" s="3465"/>
      <c r="AA100" s="3465"/>
      <c r="AB100" s="3465"/>
      <c r="AC100" s="3465"/>
    </row>
    <row r="101" spans="1:29" ht="14.4" thickTop="1">
      <c r="A101" s="2796"/>
      <c r="B101" s="2844">
        <f>B36</f>
        <v>111</v>
      </c>
      <c r="C101" s="2666"/>
      <c r="D101" s="2666"/>
      <c r="E101" s="2666"/>
      <c r="F101" s="2666"/>
      <c r="G101" s="2666"/>
      <c r="H101" s="2667"/>
      <c r="I101" s="2667"/>
      <c r="J101" s="2667"/>
      <c r="K101" s="2667"/>
      <c r="L101" s="2853"/>
      <c r="M101" s="2854"/>
      <c r="N101" s="2763"/>
      <c r="O101" s="2763"/>
      <c r="P101" s="3506"/>
      <c r="Q101" s="2739"/>
      <c r="R101" s="2606"/>
      <c r="S101" s="2606"/>
      <c r="T101" s="2606"/>
      <c r="U101" s="2606"/>
      <c r="V101" s="2606"/>
      <c r="W101" s="2606"/>
      <c r="X101" s="2606"/>
      <c r="Y101" s="2606"/>
      <c r="Z101" s="2606"/>
      <c r="AA101" s="2606"/>
      <c r="AB101" s="2606"/>
      <c r="AC101" s="2606"/>
    </row>
    <row r="102" spans="1:29" ht="14.4" thickBot="1">
      <c r="A102" s="2758"/>
      <c r="B102" s="2847"/>
      <c r="C102" s="2668"/>
      <c r="D102" s="2668"/>
      <c r="E102" s="2668"/>
      <c r="F102" s="2668"/>
      <c r="G102" s="2668"/>
      <c r="H102" s="2669"/>
      <c r="I102" s="2669"/>
      <c r="J102" s="2669"/>
      <c r="K102" s="2669"/>
      <c r="L102" s="2669"/>
      <c r="M102" s="2860"/>
      <c r="N102" s="3464"/>
      <c r="O102" s="3464"/>
      <c r="P102" s="3506"/>
      <c r="Q102" s="2739"/>
      <c r="R102" s="2606"/>
      <c r="S102" s="2606"/>
      <c r="T102" s="2606"/>
      <c r="U102" s="2606"/>
      <c r="V102" s="2606"/>
      <c r="W102" s="2606"/>
      <c r="X102" s="2606"/>
      <c r="Y102" s="2606"/>
      <c r="Z102" s="2606"/>
      <c r="AA102" s="2606"/>
      <c r="AB102" s="2606"/>
      <c r="AC102" s="2606"/>
    </row>
    <row r="103" spans="1:29" ht="14.4" thickTop="1">
      <c r="N103" s="2606"/>
      <c r="O103" s="2606"/>
      <c r="P103" s="3500"/>
      <c r="Q103" s="2606"/>
      <c r="R103" s="2606"/>
      <c r="S103" s="2606"/>
      <c r="T103" s="2606"/>
      <c r="U103" s="2606"/>
      <c r="V103" s="2606"/>
      <c r="W103" s="2606"/>
      <c r="X103" s="2606"/>
      <c r="Y103" s="2606"/>
      <c r="Z103" s="2606"/>
      <c r="AA103" s="2606"/>
      <c r="AB103" s="2606"/>
      <c r="AC103" s="260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3.2"/>
  <cols>
    <col min="1" max="1" width="9" style="1757"/>
    <col min="2" max="6" width="9" style="1757" customWidth="1"/>
    <col min="7" max="7" width="9" style="3556"/>
    <col min="8" max="8" width="9" style="3552"/>
    <col min="9" max="12" width="9" style="3552" customWidth="1"/>
    <col min="13" max="13" width="2.21875" style="1757" customWidth="1"/>
    <col min="14" max="14" width="9" style="1783" customWidth="1"/>
    <col min="15" max="17" width="9" style="1757" customWidth="1"/>
    <col min="18" max="18" width="2.33203125" style="1757" customWidth="1"/>
    <col min="19" max="19" width="7.109375" style="1783" customWidth="1"/>
    <col min="20" max="22" width="7.109375" style="1757" customWidth="1"/>
    <col min="23" max="23" width="24.21875" style="1757" customWidth="1"/>
    <col min="24" max="25" width="9" style="3552"/>
    <col min="26" max="27" width="11.6640625" style="3552" customWidth="1"/>
    <col min="28" max="28" width="9" style="3552"/>
    <col min="29" max="29" width="2" style="1757" customWidth="1"/>
    <col min="30" max="16384" width="9" style="1757"/>
  </cols>
  <sheetData>
    <row r="1" spans="1:34" s="1742" customFormat="1">
      <c r="B1" s="3952" t="s">
        <v>877</v>
      </c>
      <c r="C1" s="3952"/>
      <c r="D1" s="3952"/>
      <c r="E1" s="3952"/>
      <c r="F1" s="3952"/>
      <c r="G1" s="3946" t="s">
        <v>878</v>
      </c>
      <c r="H1" s="3946"/>
      <c r="I1" s="3946"/>
      <c r="J1" s="3946"/>
      <c r="K1" s="3946"/>
      <c r="L1" s="3946"/>
      <c r="N1" s="3948" t="s">
        <v>879</v>
      </c>
      <c r="O1" s="3948"/>
      <c r="P1" s="3948"/>
      <c r="Q1" s="3948"/>
      <c r="S1" s="3948" t="s">
        <v>880</v>
      </c>
      <c r="T1" s="3948"/>
      <c r="U1" s="3948"/>
      <c r="V1" s="3948"/>
      <c r="X1" s="3945" t="s">
        <v>881</v>
      </c>
      <c r="Y1" s="3946"/>
      <c r="Z1" s="3946"/>
      <c r="AA1" s="3946"/>
      <c r="AB1" s="3946"/>
      <c r="AD1" s="3947" t="s">
        <v>882</v>
      </c>
      <c r="AE1" s="3948"/>
      <c r="AF1" s="3948"/>
      <c r="AG1" s="3948"/>
      <c r="AH1" s="3948"/>
    </row>
    <row r="2" spans="1:34" s="1743" customFormat="1" ht="15" thickBot="1">
      <c r="B2" s="1744" t="s">
        <v>883</v>
      </c>
      <c r="C2" s="1744" t="s">
        <v>884</v>
      </c>
      <c r="D2" s="1745" t="s">
        <v>885</v>
      </c>
      <c r="E2" s="1745" t="s">
        <v>886</v>
      </c>
      <c r="F2" s="1744" t="s">
        <v>887</v>
      </c>
      <c r="G2" s="3517"/>
      <c r="H2" s="3518"/>
      <c r="I2" s="3519" t="s">
        <v>883</v>
      </c>
      <c r="J2" s="3520" t="s">
        <v>1109</v>
      </c>
      <c r="K2" s="3520" t="s">
        <v>572</v>
      </c>
      <c r="L2" s="3519" t="s">
        <v>887</v>
      </c>
      <c r="N2" s="1744" t="s">
        <v>883</v>
      </c>
      <c r="O2" s="1745" t="s">
        <v>1109</v>
      </c>
      <c r="P2" s="1745" t="s">
        <v>572</v>
      </c>
      <c r="Q2" s="1744" t="s">
        <v>887</v>
      </c>
      <c r="S2" s="1744" t="s">
        <v>883</v>
      </c>
      <c r="T2" s="1745" t="s">
        <v>1109</v>
      </c>
      <c r="U2" s="1745" t="s">
        <v>572</v>
      </c>
      <c r="V2" s="1744" t="s">
        <v>887</v>
      </c>
      <c r="X2" s="3519" t="s">
        <v>883</v>
      </c>
      <c r="Y2" s="3519" t="s">
        <v>884</v>
      </c>
      <c r="Z2" s="3520" t="s">
        <v>885</v>
      </c>
      <c r="AA2" s="3520" t="s">
        <v>886</v>
      </c>
      <c r="AB2" s="3519" t="s">
        <v>887</v>
      </c>
      <c r="AD2" s="1744" t="s">
        <v>883</v>
      </c>
      <c r="AE2" s="1744" t="s">
        <v>884</v>
      </c>
      <c r="AF2" s="1745" t="s">
        <v>885</v>
      </c>
      <c r="AG2" s="1745" t="s">
        <v>886</v>
      </c>
      <c r="AH2" s="1744" t="s">
        <v>887</v>
      </c>
    </row>
    <row r="3" spans="1:34" s="1750" customFormat="1" ht="14.4">
      <c r="A3" s="1746" t="s">
        <v>2612</v>
      </c>
      <c r="B3" s="1747"/>
      <c r="C3" s="1747"/>
      <c r="D3" s="1748"/>
      <c r="E3" s="1748"/>
      <c r="F3" s="1747"/>
      <c r="G3" s="3521"/>
      <c r="H3" s="3522"/>
      <c r="I3" s="3523">
        <f>ROUND(AVERAGE($I4:$I37),2)</f>
        <v>1.64</v>
      </c>
      <c r="J3" s="3523">
        <f>ROUND(AVERAGE($J4:$J37),2)</f>
        <v>1.03</v>
      </c>
      <c r="K3" s="3523">
        <f>ROUND(AVERAGE($K4:$K37),2)</f>
        <v>1.81</v>
      </c>
      <c r="L3" s="3523">
        <f>ROUND(AVERAGE($L4:$L37),2)</f>
        <v>1.2</v>
      </c>
      <c r="N3" s="1749"/>
      <c r="S3" s="1749"/>
      <c r="W3" s="1751"/>
      <c r="X3" s="3559">
        <f>ROUND(SUMPRODUCT(PRODUCT(1+N3:N$36)),4)</f>
        <v>1.6585000000000001</v>
      </c>
      <c r="Y3" s="3559">
        <f>ROUND(SUMPRODUCT(PRODUCT(1+O3:O$36)),4)</f>
        <v>1.3676999999999999</v>
      </c>
      <c r="Z3" s="3559">
        <f t="shared" ref="Z3:Z34" si="0">Y3</f>
        <v>1.3676999999999999</v>
      </c>
      <c r="AA3" s="3559">
        <f>ROUND(SUMPRODUCT(PRODUCT(1+P3:P$36)),4)</f>
        <v>1.7434000000000001</v>
      </c>
      <c r="AB3" s="3559">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4">
      <c r="B4" s="1754"/>
      <c r="C4" s="1754"/>
      <c r="D4" s="1755"/>
      <c r="E4" s="1755"/>
      <c r="F4" s="1754"/>
      <c r="G4" s="3524"/>
      <c r="H4" s="3525"/>
      <c r="I4" s="3526"/>
      <c r="J4" s="3526"/>
      <c r="K4" s="3526"/>
      <c r="L4" s="3526"/>
      <c r="N4" s="1756"/>
      <c r="S4" s="1756"/>
      <c r="X4" s="3552"/>
      <c r="Y4" s="3552"/>
      <c r="Z4" s="3552"/>
      <c r="AA4" s="3552"/>
      <c r="AB4" s="3552"/>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7">
        <v>2022</v>
      </c>
      <c r="H5" s="3528">
        <v>1</v>
      </c>
      <c r="I5" s="3529">
        <v>0</v>
      </c>
      <c r="J5" s="3529">
        <v>0</v>
      </c>
      <c r="K5" s="3529">
        <v>0</v>
      </c>
      <c r="L5" s="3529">
        <v>0</v>
      </c>
      <c r="N5" s="1762">
        <f t="shared" ref="N5" si="7">I5/100</f>
        <v>0</v>
      </c>
      <c r="O5" s="1762">
        <f t="shared" ref="O5" si="8">J5/100</f>
        <v>0</v>
      </c>
      <c r="P5" s="1762">
        <f t="shared" ref="P5" si="9">K5/100</f>
        <v>0</v>
      </c>
      <c r="Q5" s="1762">
        <f t="shared" ref="Q5" si="10">L5/100</f>
        <v>0</v>
      </c>
      <c r="S5" s="1763"/>
      <c r="W5" s="1764" t="s">
        <v>2613</v>
      </c>
      <c r="X5" s="3560">
        <f>ROUND(IF(项目基本情况!B1="出让",SUMPRODUCT(PRODUCT(1+N5:N$37)),SUMPRODUCT(PRODUCT(1+N5:N$36))),4)</f>
        <v>1.6585000000000001</v>
      </c>
      <c r="Y5" s="3560">
        <f>ROUND(IF(项目基本情况!B1="出让",SUMPRODUCT(PRODUCT(1+O5:O$37)),SUMPRODUCT(PRODUCT(1+O5:O$36))),4)</f>
        <v>1.3676999999999999</v>
      </c>
      <c r="Z5" s="3560">
        <f t="shared" ref="Z5" si="11">Y5</f>
        <v>1.3676999999999999</v>
      </c>
      <c r="AA5" s="3560">
        <f>ROUND(IF(项目基本情况!B1="出让",SUMPRODUCT(PRODUCT(1+P5:P$37)),SUMPRODUCT(PRODUCT(1+P5:P$36))),4)</f>
        <v>1.7434000000000001</v>
      </c>
      <c r="AB5" s="3560">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7">
        <v>2021</v>
      </c>
      <c r="H6" s="3530">
        <v>4</v>
      </c>
      <c r="I6" s="3531">
        <v>1.03</v>
      </c>
      <c r="J6" s="3531">
        <v>0.24</v>
      </c>
      <c r="K6" s="3531">
        <v>1.17</v>
      </c>
      <c r="L6" s="3532">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1">
        <f>ROUND(IF(项目基本情况!B2="出让",SUMPRODUCT(PRODUCT(1+N6:N$37)),SUMPRODUCT(PRODUCT(1+N6:N$36))),4)</f>
        <v>1.6585000000000001</v>
      </c>
      <c r="Y6" s="3561">
        <f>ROUND(IF(项目基本情况!B2="出让",SUMPRODUCT(PRODUCT(1+O6:O$37)),SUMPRODUCT(PRODUCT(1+O6:O$36))),4)</f>
        <v>1.3676999999999999</v>
      </c>
      <c r="Z6" s="3561">
        <f t="shared" ref="Z6" si="22">Y6</f>
        <v>1.3676999999999999</v>
      </c>
      <c r="AA6" s="3561">
        <f>ROUND(IF(项目基本情况!B2="出让",SUMPRODUCT(PRODUCT(1+P6:P$37)),SUMPRODUCT(PRODUCT(1+P6:P$36))),4)</f>
        <v>1.7434000000000001</v>
      </c>
      <c r="AB6" s="3561">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7">
        <v>2021</v>
      </c>
      <c r="H7" s="3530">
        <v>3</v>
      </c>
      <c r="I7" s="3531">
        <v>0.47</v>
      </c>
      <c r="J7" s="3531">
        <v>0.41</v>
      </c>
      <c r="K7" s="3531">
        <v>0.48</v>
      </c>
      <c r="L7" s="3532">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1">
        <f>ROUND(IF(项目基本情况!B3="出让",SUMPRODUCT(PRODUCT(1+N7:N$37)),SUMPRODUCT(PRODUCT(1+N7:N$36))),4)</f>
        <v>1.6415999999999999</v>
      </c>
      <c r="Y7" s="3561">
        <f>ROUND(IF(项目基本情况!B3="出让",SUMPRODUCT(PRODUCT(1+O7:O$37)),SUMPRODUCT(PRODUCT(1+O7:O$36))),4)</f>
        <v>1.3644000000000001</v>
      </c>
      <c r="Z7" s="3561">
        <f t="shared" ref="Z7" si="33">Y7</f>
        <v>1.3644000000000001</v>
      </c>
      <c r="AA7" s="3561">
        <f>ROUND(IF(项目基本情况!B3="出让",SUMPRODUCT(PRODUCT(1+P7:P$37)),SUMPRODUCT(PRODUCT(1+P7:P$36))),4)</f>
        <v>1.7232000000000001</v>
      </c>
      <c r="AB7" s="3561">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7">
        <v>2021</v>
      </c>
      <c r="H8" s="3530">
        <v>2</v>
      </c>
      <c r="I8" s="3531">
        <v>0.92</v>
      </c>
      <c r="J8" s="3531">
        <v>0.72</v>
      </c>
      <c r="K8" s="3531">
        <v>0.95</v>
      </c>
      <c r="L8" s="3532">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1">
        <f>ROUND(IF(项目基本情况!B4="出让",SUMPRODUCT(PRODUCT(1+N8:N$37)),SUMPRODUCT(PRODUCT(1+N8:N$36))),4)</f>
        <v>1.6338999999999999</v>
      </c>
      <c r="Y8" s="3561">
        <f>ROUND(IF(项目基本情况!B4="出让",SUMPRODUCT(PRODUCT(1+O8:O$37)),SUMPRODUCT(PRODUCT(1+O8:O$36))),4)</f>
        <v>1.3588</v>
      </c>
      <c r="Z8" s="3561">
        <f t="shared" ref="Z8" si="44">Y8</f>
        <v>1.3588</v>
      </c>
      <c r="AA8" s="3561">
        <f>ROUND(IF(项目基本情况!B4="出让",SUMPRODUCT(PRODUCT(1+P8:P$37)),SUMPRODUCT(PRODUCT(1+P8:P$36))),4)</f>
        <v>1.7150000000000001</v>
      </c>
      <c r="AB8" s="3561">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7">
        <v>2021</v>
      </c>
      <c r="H9" s="3530">
        <v>1</v>
      </c>
      <c r="I9" s="3531">
        <v>0.97</v>
      </c>
      <c r="J9" s="3531">
        <v>0.16</v>
      </c>
      <c r="K9" s="3531">
        <v>1.1100000000000001</v>
      </c>
      <c r="L9" s="3532">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1">
        <f>ROUND(IF(项目基本情况!B5="出让",SUMPRODUCT(PRODUCT(1+N9:N$37)),SUMPRODUCT(PRODUCT(1+N9:N$36))),4)</f>
        <v>1.619</v>
      </c>
      <c r="Y9" s="3561">
        <f>ROUND(IF(项目基本情况!B5="出让",SUMPRODUCT(PRODUCT(1+O9:O$37)),SUMPRODUCT(PRODUCT(1+O9:O$36))),4)</f>
        <v>1.3491</v>
      </c>
      <c r="Z9" s="3561">
        <f t="shared" ref="Z9" si="58">Y9</f>
        <v>1.3491</v>
      </c>
      <c r="AA9" s="3561">
        <f>ROUND(IF(项目基本情况!B5="出让",SUMPRODUCT(PRODUCT(1+P9:P$37)),SUMPRODUCT(PRODUCT(1+P9:P$36))),4)</f>
        <v>1.6988000000000001</v>
      </c>
      <c r="AB9" s="3561">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7">
        <v>2020</v>
      </c>
      <c r="H10" s="3530">
        <v>4</v>
      </c>
      <c r="I10" s="3531">
        <v>2.0699999999999998</v>
      </c>
      <c r="J10" s="3531">
        <v>0.37</v>
      </c>
      <c r="K10" s="3531">
        <v>2.35</v>
      </c>
      <c r="L10" s="3532">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1">
        <f>ROUND(IF(项目基本情况!B6="出让",SUMPRODUCT(PRODUCT(1+N10:N$37)),SUMPRODUCT(PRODUCT(1+N10:N$36))),4)</f>
        <v>1.6034999999999999</v>
      </c>
      <c r="Y10" s="3561">
        <f>ROUND(IF(项目基本情况!B6="出让",SUMPRODUCT(PRODUCT(1+O10:O$37)),SUMPRODUCT(PRODUCT(1+O10:O$36))),4)</f>
        <v>1.3469</v>
      </c>
      <c r="Z10" s="3561">
        <f t="shared" ref="Z10" si="69">Y10</f>
        <v>1.3469</v>
      </c>
      <c r="AA10" s="3561">
        <f>ROUND(IF(项目基本情况!B6="出让",SUMPRODUCT(PRODUCT(1+P10:P$37)),SUMPRODUCT(PRODUCT(1+P10:P$36))),4)</f>
        <v>1.6801999999999999</v>
      </c>
      <c r="AB10" s="3561">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7">
        <v>2020</v>
      </c>
      <c r="H11" s="3530">
        <v>3</v>
      </c>
      <c r="I11" s="3531">
        <v>0.36</v>
      </c>
      <c r="J11" s="3531">
        <v>-0.39</v>
      </c>
      <c r="K11" s="3531">
        <v>0.49</v>
      </c>
      <c r="L11" s="3532">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1">
        <f>ROUND(IF(项目基本情况!B7="出让",SUMPRODUCT(PRODUCT(1+N11:N$37)),SUMPRODUCT(PRODUCT(1+N11:N$36))),4)</f>
        <v>1.571</v>
      </c>
      <c r="Y11" s="3561">
        <f>ROUND(IF(项目基本情况!B7="出让",SUMPRODUCT(PRODUCT(1+O11:O$37)),SUMPRODUCT(PRODUCT(1+O11:O$36))),4)</f>
        <v>1.3420000000000001</v>
      </c>
      <c r="Z11" s="3561">
        <f t="shared" ref="Z11" si="80">Y11</f>
        <v>1.3420000000000001</v>
      </c>
      <c r="AA11" s="3561">
        <f>ROUND(IF(项目基本情况!B7="出让",SUMPRODUCT(PRODUCT(1+P11:P$37)),SUMPRODUCT(PRODUCT(1+P11:P$36))),4)</f>
        <v>1.6415999999999999</v>
      </c>
      <c r="AB11" s="3561">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7">
        <v>2020</v>
      </c>
      <c r="H12" s="3530">
        <v>2</v>
      </c>
      <c r="I12" s="3531">
        <v>0.31</v>
      </c>
      <c r="J12" s="3531">
        <v>-0.78</v>
      </c>
      <c r="K12" s="3531">
        <v>0.5</v>
      </c>
      <c r="L12" s="3532">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1">
        <f>ROUND(IF(项目基本情况!B8="出让",SUMPRODUCT(PRODUCT(1+N12:N$37)),SUMPRODUCT(PRODUCT(1+N12:N$36))),4)</f>
        <v>1.5652999999999999</v>
      </c>
      <c r="Y12" s="3561">
        <f>ROUND(IF(项目基本情况!B8="出让",SUMPRODUCT(PRODUCT(1+O12:O$37)),SUMPRODUCT(PRODUCT(1+O12:O$36))),4)</f>
        <v>1.3472</v>
      </c>
      <c r="Z12" s="3561">
        <f t="shared" ref="Z12" si="91">Y12</f>
        <v>1.3472</v>
      </c>
      <c r="AA12" s="3561">
        <f>ROUND(IF(项目基本情况!B8="出让",SUMPRODUCT(PRODUCT(1+P12:P$37)),SUMPRODUCT(PRODUCT(1+P12:P$36))),4)</f>
        <v>1.6335999999999999</v>
      </c>
      <c r="AB12" s="3561">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7">
        <v>2020</v>
      </c>
      <c r="H13" s="3530">
        <v>1</v>
      </c>
      <c r="I13" s="3531">
        <v>0.12</v>
      </c>
      <c r="J13" s="3531">
        <v>-0.4</v>
      </c>
      <c r="K13" s="3531">
        <v>0.21</v>
      </c>
      <c r="L13" s="3532">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1">
        <f>ROUND(IF(项目基本情况!B8="出让",SUMPRODUCT(PRODUCT(1+N13:N$37)),SUMPRODUCT(PRODUCT(1+N13:N$36))),4)</f>
        <v>1.5605</v>
      </c>
      <c r="Y13" s="3561">
        <f>ROUND(IF(项目基本情况!B8="出让",SUMPRODUCT(PRODUCT(1+O13:O$37)),SUMPRODUCT(PRODUCT(1+O13:O$36))),4)</f>
        <v>1.3577999999999999</v>
      </c>
      <c r="Z13" s="3561">
        <f t="shared" ref="Z13" si="105">Y13</f>
        <v>1.3577999999999999</v>
      </c>
      <c r="AA13" s="3561">
        <f>ROUND(IF(项目基本情况!B8="出让",SUMPRODUCT(PRODUCT(1+P13:P$37)),SUMPRODUCT(PRODUCT(1+P13:P$36))),4)</f>
        <v>1.6254999999999999</v>
      </c>
      <c r="AB13" s="3561">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7">
        <v>2019</v>
      </c>
      <c r="H14" s="3530">
        <v>4</v>
      </c>
      <c r="I14" s="3530">
        <v>0.45</v>
      </c>
      <c r="J14" s="3530">
        <v>-0.12</v>
      </c>
      <c r="K14" s="3530">
        <v>0.54</v>
      </c>
      <c r="L14" s="3533">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1">
        <f>ROUND(IF(项目基本情况!B8="出让",SUMPRODUCT(PRODUCT(1+N14:N$37)),SUMPRODUCT(PRODUCT(1+N14:N$36))),4)</f>
        <v>1.5586</v>
      </c>
      <c r="Y14" s="3561">
        <f>ROUND(IF(项目基本情况!B8="出让",SUMPRODUCT(PRODUCT(1+O14:O$37)),SUMPRODUCT(PRODUCT(1+O14:O$36))),4)</f>
        <v>1.3633</v>
      </c>
      <c r="Z14" s="3561">
        <f t="shared" ref="Z14" si="116">Y14</f>
        <v>1.3633</v>
      </c>
      <c r="AA14" s="3561">
        <f>ROUND(IF(项目基本情况!B8="出让",SUMPRODUCT(PRODUCT(1+P14:P$37)),SUMPRODUCT(PRODUCT(1+P14:P$36))),4)</f>
        <v>1.6221000000000001</v>
      </c>
      <c r="AB14" s="3561">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8"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7">
        <v>2019</v>
      </c>
      <c r="H15" s="3530">
        <v>3</v>
      </c>
      <c r="I15" s="3530">
        <v>0.61</v>
      </c>
      <c r="J15" s="3530">
        <v>0.67</v>
      </c>
      <c r="K15" s="3530">
        <v>0.6</v>
      </c>
      <c r="L15" s="3533">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1">
        <f>ROUND(IF(项目基本情况!B8="出让",SUMPRODUCT(PRODUCT(1+N15:N$37)),SUMPRODUCT(PRODUCT(1+N15:N$36))),4)</f>
        <v>1.5516000000000001</v>
      </c>
      <c r="Y15" s="3561">
        <f>ROUND(IF(项目基本情况!B8="出让",SUMPRODUCT(PRODUCT(1+O15:O$37)),SUMPRODUCT(PRODUCT(1+O15:O$36))),4)</f>
        <v>1.3649</v>
      </c>
      <c r="Z15" s="3561">
        <f t="shared" ref="Z15" si="126">Y15</f>
        <v>1.3649</v>
      </c>
      <c r="AA15" s="3561">
        <f>ROUND(IF(项目基本情况!B8="出让",SUMPRODUCT(PRODUCT(1+P15:P$37)),SUMPRODUCT(PRODUCT(1+P15:P$36))),4)</f>
        <v>1.6133999999999999</v>
      </c>
      <c r="AB15" s="3561">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7">
        <v>2019</v>
      </c>
      <c r="H16" s="3534">
        <v>2</v>
      </c>
      <c r="I16" s="3534">
        <v>1.53</v>
      </c>
      <c r="J16" s="3534">
        <v>1.01</v>
      </c>
      <c r="K16" s="3534">
        <v>1.62</v>
      </c>
      <c r="L16" s="3535">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1">
        <f>ROUND(IF(项目基本情况!B8="出让",SUMPRODUCT(PRODUCT(1+N16:N$37)),SUMPRODUCT(PRODUCT(1+N16:N$36))),4)</f>
        <v>1.5422</v>
      </c>
      <c r="Y16" s="3561">
        <f>ROUND(IF(项目基本情况!B8="出让",SUMPRODUCT(PRODUCT(1+O16:O$37)),SUMPRODUCT(PRODUCT(1+O16:O$36))),4)</f>
        <v>1.3557999999999999</v>
      </c>
      <c r="Z16" s="3561">
        <f t="shared" ref="Z16" si="136">Y16</f>
        <v>1.3557999999999999</v>
      </c>
      <c r="AA16" s="3561">
        <f>ROUND(IF(项目基本情况!B8="出让",SUMPRODUCT(PRODUCT(1+P16:P$37)),SUMPRODUCT(PRODUCT(1+P16:P$36))),4)</f>
        <v>1.6036999999999999</v>
      </c>
      <c r="AB16" s="3561">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8"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7">
        <v>2019</v>
      </c>
      <c r="H17" s="3530">
        <v>1</v>
      </c>
      <c r="I17" s="3530">
        <v>0.6</v>
      </c>
      <c r="J17" s="3530">
        <v>0.37</v>
      </c>
      <c r="K17" s="3530">
        <v>0.63</v>
      </c>
      <c r="L17" s="3533">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1">
        <f>ROUND(IF(项目基本情况!B8="出让",SUMPRODUCT(PRODUCT(1+N17:N$37)),SUMPRODUCT(PRODUCT(1+N17:N$36))),4)</f>
        <v>1.5189999999999999</v>
      </c>
      <c r="Y17" s="3561">
        <f>ROUND(IF(项目基本情况!B8="出让",SUMPRODUCT(PRODUCT(1+O17:O$37)),SUMPRODUCT(PRODUCT(1+O17:O$36))),4)</f>
        <v>1.3423</v>
      </c>
      <c r="Z17" s="3561">
        <f t="shared" ref="Z17" si="149">Y17</f>
        <v>1.3423</v>
      </c>
      <c r="AA17" s="3561">
        <f>ROUND(IF(项目基本情况!B8="出让",SUMPRODUCT(PRODUCT(1+P17:P$37)),SUMPRODUCT(PRODUCT(1+P17:P$36))),4)</f>
        <v>1.5782</v>
      </c>
      <c r="AB17" s="3561">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50">
        <v>2018</v>
      </c>
      <c r="H18" s="3534">
        <v>4</v>
      </c>
      <c r="I18" s="3534">
        <v>0.96</v>
      </c>
      <c r="J18" s="3534">
        <v>1.03</v>
      </c>
      <c r="K18" s="3534">
        <v>0.92</v>
      </c>
      <c r="L18" s="3535">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1">
        <f>ROUND(SUMPRODUCT(PRODUCT(1+N18:N$36)),4)</f>
        <v>1.5099</v>
      </c>
      <c r="Y18" s="3561">
        <f>ROUND(SUMPRODUCT(PRODUCT(1+O18:O$36)),4)</f>
        <v>1.3372999999999999</v>
      </c>
      <c r="Z18" s="3561">
        <f t="shared" ref="Z18" si="159">Y18</f>
        <v>1.3372999999999999</v>
      </c>
      <c r="AA18" s="3561">
        <f>ROUND(SUMPRODUCT(PRODUCT(1+P18:P$36)),4)</f>
        <v>1.5683</v>
      </c>
      <c r="AB18" s="3561">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50"/>
      <c r="H19" s="3530">
        <v>3</v>
      </c>
      <c r="I19" s="3530">
        <v>1.51</v>
      </c>
      <c r="J19" s="3530">
        <v>1.41</v>
      </c>
      <c r="K19" s="3530">
        <v>1.52</v>
      </c>
      <c r="L19" s="3533">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1">
        <f>ROUND(SUMPRODUCT(PRODUCT(1+N19:N$36)),4)</f>
        <v>1.4956</v>
      </c>
      <c r="Y19" s="3561">
        <f>ROUND(SUMPRODUCT(PRODUCT(1+O19:O$36)),4)</f>
        <v>1.3237000000000001</v>
      </c>
      <c r="Z19" s="3561">
        <f t="shared" ref="Z19" si="169">Y19</f>
        <v>1.3237000000000001</v>
      </c>
      <c r="AA19" s="3561">
        <f>ROUND(SUMPRODUCT(PRODUCT(1+P19:P$36)),4)</f>
        <v>1.554</v>
      </c>
      <c r="AB19" s="3561">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50"/>
      <c r="H20" s="3536">
        <v>2</v>
      </c>
      <c r="I20" s="3536">
        <v>1.49</v>
      </c>
      <c r="J20" s="3536">
        <v>0.96</v>
      </c>
      <c r="K20" s="3536">
        <v>1.58</v>
      </c>
      <c r="L20" s="3537">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1">
        <f>ROUND(SUMPRODUCT(PRODUCT(1+N20:N$36)),4)</f>
        <v>1.4733000000000001</v>
      </c>
      <c r="Y20" s="3561">
        <f>ROUND(SUMPRODUCT(PRODUCT(1+O20:O$36)),4)</f>
        <v>1.3052999999999999</v>
      </c>
      <c r="Z20" s="3561">
        <f t="shared" ref="Z20" si="180">Y20</f>
        <v>1.3052999999999999</v>
      </c>
      <c r="AA20" s="3561">
        <f>ROUND(SUMPRODUCT(PRODUCT(1+P20:P$36)),4)</f>
        <v>1.5306999999999999</v>
      </c>
      <c r="AB20" s="3561">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57"/>
      <c r="H21" s="3530">
        <v>1</v>
      </c>
      <c r="I21" s="3530">
        <v>1.7</v>
      </c>
      <c r="J21" s="3530">
        <v>1.92</v>
      </c>
      <c r="K21" s="3530">
        <v>1.64</v>
      </c>
      <c r="L21" s="3533">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1">
        <f>ROUND(SUMPRODUCT(PRODUCT(1+N21:N$36)),4)</f>
        <v>1.4517</v>
      </c>
      <c r="Y21" s="3561">
        <f>ROUND(SUMPRODUCT(PRODUCT(1+O21:O$36)),4)</f>
        <v>1.2928999999999999</v>
      </c>
      <c r="Z21" s="3561">
        <f t="shared" ref="Z21" si="194">Y21</f>
        <v>1.2928999999999999</v>
      </c>
      <c r="AA21" s="3561">
        <f>ROUND(SUMPRODUCT(PRODUCT(1+P21:P$36)),4)</f>
        <v>1.5068999999999999</v>
      </c>
      <c r="AB21" s="3561">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53">
        <v>2017</v>
      </c>
      <c r="H22" s="3534">
        <v>4</v>
      </c>
      <c r="I22" s="3534">
        <v>1.71</v>
      </c>
      <c r="J22" s="3534">
        <v>1.78</v>
      </c>
      <c r="K22" s="3534">
        <v>1.71</v>
      </c>
      <c r="L22" s="3535">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2">
        <f>ROUND(SUMPRODUCT(PRODUCT(1+N22:N$36)),4)</f>
        <v>1.4274</v>
      </c>
      <c r="Y22" s="3552">
        <f>ROUND(SUMPRODUCT(PRODUCT(1+O22:O$36)),4)</f>
        <v>1.2685</v>
      </c>
      <c r="Z22" s="3552">
        <f t="shared" si="0"/>
        <v>1.2685</v>
      </c>
      <c r="AA22" s="3552">
        <f>ROUND(SUMPRODUCT(PRODUCT(1+P22:P$36)),4)</f>
        <v>1.4825999999999999</v>
      </c>
      <c r="AB22" s="3552">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50"/>
      <c r="H23" s="3530">
        <v>3</v>
      </c>
      <c r="I23" s="3530">
        <v>2.98</v>
      </c>
      <c r="J23" s="3530">
        <v>2.11</v>
      </c>
      <c r="K23" s="3530">
        <v>3.24</v>
      </c>
      <c r="L23" s="3533">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1">
        <f>ROUND(SUMPRODUCT(PRODUCT(1+N23:N$36)),4)</f>
        <v>1.4034</v>
      </c>
      <c r="Y23" s="3561">
        <f>ROUND(SUMPRODUCT(PRODUCT(1+O23:O$36)),4)</f>
        <v>1.2463</v>
      </c>
      <c r="Z23" s="3561">
        <f t="shared" si="0"/>
        <v>1.2463</v>
      </c>
      <c r="AA23" s="3561">
        <f>ROUND(SUMPRODUCT(PRODUCT(1+P23:P$36)),4)</f>
        <v>1.4577</v>
      </c>
      <c r="AB23" s="3561">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50"/>
      <c r="H24" s="3536">
        <v>2</v>
      </c>
      <c r="I24" s="3536">
        <v>3.4</v>
      </c>
      <c r="J24" s="3536">
        <v>2</v>
      </c>
      <c r="K24" s="3536">
        <v>3.82</v>
      </c>
      <c r="L24" s="3537">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1">
        <f>ROUND(SUMPRODUCT(PRODUCT(1+N24:N$36)),4)</f>
        <v>1.3628</v>
      </c>
      <c r="Y24" s="3561">
        <f>ROUND(SUMPRODUCT(PRODUCT(1+O24:O$36)),4)</f>
        <v>1.2205999999999999</v>
      </c>
      <c r="Z24" s="3561">
        <f t="shared" si="0"/>
        <v>1.2205999999999999</v>
      </c>
      <c r="AA24" s="3561">
        <f>ROUND(SUMPRODUCT(PRODUCT(1+P24:P$36)),4)</f>
        <v>1.4118999999999999</v>
      </c>
      <c r="AB24" s="3561">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57"/>
      <c r="H25" s="3530">
        <v>1</v>
      </c>
      <c r="I25" s="3530">
        <v>3.45</v>
      </c>
      <c r="J25" s="3530">
        <v>1.92</v>
      </c>
      <c r="K25" s="3530">
        <v>3.92</v>
      </c>
      <c r="L25" s="3533">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1">
        <f>ROUND(SUMPRODUCT(PRODUCT(1+N25:N$36)),4)</f>
        <v>1.3180000000000001</v>
      </c>
      <c r="Y25" s="3561">
        <f>ROUND(SUMPRODUCT(PRODUCT(1+O25:O$36)),4)</f>
        <v>1.1966000000000001</v>
      </c>
      <c r="Z25" s="3561">
        <f t="shared" si="0"/>
        <v>1.1966000000000001</v>
      </c>
      <c r="AA25" s="3561">
        <f>ROUND(SUMPRODUCT(PRODUCT(1+P25:P$36)),4)</f>
        <v>1.36</v>
      </c>
      <c r="AB25" s="3561">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53">
        <v>2016</v>
      </c>
      <c r="H26" s="3534">
        <v>4</v>
      </c>
      <c r="I26" s="3534">
        <v>4.5599999999999996</v>
      </c>
      <c r="J26" s="3534">
        <v>2.15</v>
      </c>
      <c r="K26" s="3534">
        <v>5.32</v>
      </c>
      <c r="L26" s="3535">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2">
        <f>ROUND(SUMPRODUCT(PRODUCT(1+N26:N$36)),4)</f>
        <v>1.274</v>
      </c>
      <c r="Y26" s="3552">
        <f>ROUND(SUMPRODUCT(PRODUCT(1+O26:O$36)),4)</f>
        <v>1.1740999999999999</v>
      </c>
      <c r="Z26" s="3552">
        <f t="shared" si="0"/>
        <v>1.1740999999999999</v>
      </c>
      <c r="AA26" s="3552">
        <f>ROUND(SUMPRODUCT(PRODUCT(1+P26:P$36)),4)</f>
        <v>1.3087</v>
      </c>
      <c r="AB26" s="3552">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50"/>
      <c r="H27" s="3530">
        <v>3</v>
      </c>
      <c r="I27" s="3530">
        <v>4.12</v>
      </c>
      <c r="J27" s="3530">
        <v>2</v>
      </c>
      <c r="K27" s="3530">
        <v>4.79</v>
      </c>
      <c r="L27" s="3533">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2">
        <f>ROUND(SUMPRODUCT(PRODUCT(1+N27:N$36)),4)</f>
        <v>1.2184999999999999</v>
      </c>
      <c r="Y27" s="3552">
        <f>ROUND(SUMPRODUCT(PRODUCT(1+O27:O$36)),4)</f>
        <v>1.1494</v>
      </c>
      <c r="Z27" s="3552">
        <f t="shared" si="0"/>
        <v>1.1494</v>
      </c>
      <c r="AA27" s="3552">
        <f>ROUND(SUMPRODUCT(PRODUCT(1+P27:P$36)),4)</f>
        <v>1.2425999999999999</v>
      </c>
      <c r="AB27" s="3552">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50"/>
      <c r="H28" s="3536">
        <v>2</v>
      </c>
      <c r="I28" s="3536">
        <v>3.85</v>
      </c>
      <c r="J28" s="3536">
        <v>1.95</v>
      </c>
      <c r="K28" s="3536">
        <v>4.4800000000000004</v>
      </c>
      <c r="L28" s="3537">
        <v>1.41</v>
      </c>
      <c r="N28" s="1768">
        <f t="shared" si="215"/>
        <v>3.85E-2</v>
      </c>
      <c r="O28" s="1758">
        <f t="shared" si="210"/>
        <v>1.95E-2</v>
      </c>
      <c r="P28" s="1758">
        <f t="shared" si="210"/>
        <v>4.4800000000000006E-2</v>
      </c>
      <c r="Q28" s="1758">
        <f t="shared" si="210"/>
        <v>1.41E-2</v>
      </c>
      <c r="R28" s="1769"/>
      <c r="S28" s="1768"/>
      <c r="T28" s="1758"/>
      <c r="U28" s="1758"/>
      <c r="V28" s="1758"/>
      <c r="X28" s="3552">
        <f>ROUND(SUMPRODUCT(PRODUCT(1+N28:N$36)),4)</f>
        <v>1.1702999999999999</v>
      </c>
      <c r="Y28" s="3552">
        <f>ROUND(SUMPRODUCT(PRODUCT(1+O28:O$36)),4)</f>
        <v>1.1269</v>
      </c>
      <c r="Z28" s="3552">
        <f t="shared" si="0"/>
        <v>1.1269</v>
      </c>
      <c r="AA28" s="3552">
        <f>ROUND(SUMPRODUCT(PRODUCT(1+P28:P$36)),4)</f>
        <v>1.1858</v>
      </c>
      <c r="AB28" s="3552">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8"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51"/>
      <c r="H29" s="3530">
        <v>1</v>
      </c>
      <c r="I29" s="3530">
        <v>4.09</v>
      </c>
      <c r="J29" s="3530">
        <v>2.93</v>
      </c>
      <c r="K29" s="3530">
        <v>4.54</v>
      </c>
      <c r="L29" s="3533">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2">
        <f>ROUND(SUMPRODUCT(PRODUCT(1+N29:N$36)),4)</f>
        <v>1.1269</v>
      </c>
      <c r="Y29" s="3552">
        <f>ROUND(SUMPRODUCT(PRODUCT(1+O29:O$36)),4)</f>
        <v>1.1052999999999999</v>
      </c>
      <c r="Z29" s="3552">
        <f t="shared" si="0"/>
        <v>1.1052999999999999</v>
      </c>
      <c r="AA29" s="3552">
        <f>ROUND(SUMPRODUCT(PRODUCT(1+P29:P$36)),4)</f>
        <v>1.1349</v>
      </c>
      <c r="AB29" s="3552">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8" thickBot="1">
      <c r="A30" s="1766" t="s">
        <v>151</v>
      </c>
      <c r="B30" s="1775">
        <v>333</v>
      </c>
      <c r="C30" s="1775">
        <v>277</v>
      </c>
      <c r="D30" s="1775">
        <f t="shared" si="213"/>
        <v>277</v>
      </c>
      <c r="E30" s="1775">
        <v>459</v>
      </c>
      <c r="F30" s="1776">
        <v>249</v>
      </c>
      <c r="G30" s="3949">
        <v>2015</v>
      </c>
      <c r="H30" s="3538">
        <v>4</v>
      </c>
      <c r="I30" s="3538">
        <v>1.63</v>
      </c>
      <c r="J30" s="3538">
        <v>1.1100000000000001</v>
      </c>
      <c r="K30" s="3538">
        <v>1.77</v>
      </c>
      <c r="L30" s="3539">
        <v>1.89</v>
      </c>
      <c r="N30" s="1781">
        <f t="shared" si="215"/>
        <v>1.6299999999999999E-2</v>
      </c>
      <c r="O30" s="1782">
        <f t="shared" si="210"/>
        <v>1.11E-2</v>
      </c>
      <c r="P30" s="1782">
        <f t="shared" si="210"/>
        <v>1.77E-2</v>
      </c>
      <c r="Q30" s="1782">
        <f t="shared" si="210"/>
        <v>1.89E-2</v>
      </c>
      <c r="R30" s="1769"/>
      <c r="X30" s="3552">
        <f>ROUND(SUMPRODUCT(PRODUCT(1+N30:N$36)),4)</f>
        <v>1.0826</v>
      </c>
      <c r="Y30" s="3552">
        <f>ROUND(SUMPRODUCT(PRODUCT(1+O30:O$36)),4)</f>
        <v>1.0738000000000001</v>
      </c>
      <c r="Z30" s="3552">
        <f t="shared" si="0"/>
        <v>1.0738000000000001</v>
      </c>
      <c r="AA30" s="3552">
        <f>ROUND(SUMPRODUCT(PRODUCT(1+P30:P$36)),4)</f>
        <v>1.0855999999999999</v>
      </c>
      <c r="AB30" s="3552">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50"/>
      <c r="H31" s="3540">
        <v>3</v>
      </c>
      <c r="I31" s="3540">
        <v>1.65</v>
      </c>
      <c r="J31" s="3540">
        <v>0.92</v>
      </c>
      <c r="K31" s="3540">
        <v>1.88</v>
      </c>
      <c r="L31" s="3541">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2">
        <f>ROUND(SUMPRODUCT(PRODUCT(1+N31:N$36)),4)</f>
        <v>1.0651999999999999</v>
      </c>
      <c r="Y31" s="3552">
        <f>ROUND(SUMPRODUCT(PRODUCT(1+O31:O$36)),4)</f>
        <v>1.0621</v>
      </c>
      <c r="Z31" s="3552">
        <f t="shared" si="0"/>
        <v>1.0621</v>
      </c>
      <c r="AA31" s="3552">
        <f>ROUND(SUMPRODUCT(PRODUCT(1+P31:P$36)),4)</f>
        <v>1.0668</v>
      </c>
      <c r="AB31" s="3552">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50"/>
      <c r="H32" s="3536">
        <v>2</v>
      </c>
      <c r="I32" s="3536">
        <v>0.77</v>
      </c>
      <c r="J32" s="3536">
        <v>0.69</v>
      </c>
      <c r="K32" s="3536">
        <v>0.8</v>
      </c>
      <c r="L32" s="3537">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2">
        <f>ROUND(SUMPRODUCT(PRODUCT(1+N32:N$36)),4)</f>
        <v>1.048</v>
      </c>
      <c r="Y32" s="3552">
        <f>ROUND(SUMPRODUCT(PRODUCT(1+O32:O$36)),4)</f>
        <v>1.0524</v>
      </c>
      <c r="Z32" s="3552">
        <f t="shared" si="0"/>
        <v>1.0524</v>
      </c>
      <c r="AA32" s="3552">
        <f>ROUND(SUMPRODUCT(PRODUCT(1+P32:P$36)),4)</f>
        <v>1.0470999999999999</v>
      </c>
      <c r="AB32" s="3552">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51"/>
      <c r="H33" s="3530">
        <v>1</v>
      </c>
      <c r="I33" s="3530">
        <v>0.51</v>
      </c>
      <c r="J33" s="3530">
        <v>0.54</v>
      </c>
      <c r="K33" s="3530">
        <v>0.48</v>
      </c>
      <c r="L33" s="3533">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2">
        <f>ROUND(SUMPRODUCT(PRODUCT(1+N33:N$36)),4)</f>
        <v>1.0399</v>
      </c>
      <c r="Y33" s="3552">
        <f>ROUND(SUMPRODUCT(PRODUCT(1+O33:O$36)),4)</f>
        <v>1.0451999999999999</v>
      </c>
      <c r="Z33" s="3552">
        <f t="shared" si="0"/>
        <v>1.0451999999999999</v>
      </c>
      <c r="AA33" s="3552">
        <f>ROUND(SUMPRODUCT(PRODUCT(1+P33:P$36)),4)</f>
        <v>1.0387999999999999</v>
      </c>
      <c r="AB33" s="3552">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8" thickBot="1">
      <c r="A34" s="1766" t="s">
        <v>147</v>
      </c>
      <c r="B34" s="1785">
        <v>318</v>
      </c>
      <c r="C34" s="1785">
        <v>268</v>
      </c>
      <c r="D34" s="1785">
        <f t="shared" si="213"/>
        <v>268</v>
      </c>
      <c r="E34" s="1785">
        <v>437</v>
      </c>
      <c r="F34" s="1786">
        <v>237</v>
      </c>
      <c r="G34" s="3949">
        <v>2014</v>
      </c>
      <c r="H34" s="3538">
        <v>4</v>
      </c>
      <c r="I34" s="3538">
        <v>0.21</v>
      </c>
      <c r="J34" s="3538">
        <v>0.41</v>
      </c>
      <c r="K34" s="3538">
        <v>0.12</v>
      </c>
      <c r="L34" s="3539">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2">
        <f>ROUND(SUMPRODUCT(PRODUCT(1+N34:N$36)),4)</f>
        <v>1.0347</v>
      </c>
      <c r="Y34" s="3552">
        <f>ROUND(SUMPRODUCT(PRODUCT(1+O34:O$36)),4)</f>
        <v>1.0395000000000001</v>
      </c>
      <c r="Z34" s="3552">
        <f t="shared" si="0"/>
        <v>1.0395000000000001</v>
      </c>
      <c r="AA34" s="3552">
        <f>ROUND(SUMPRODUCT(PRODUCT(1+P34:P$36)),4)</f>
        <v>1.0338000000000001</v>
      </c>
      <c r="AB34" s="3552">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50"/>
      <c r="H35" s="3542">
        <v>3</v>
      </c>
      <c r="I35" s="3542">
        <v>0.83</v>
      </c>
      <c r="J35" s="3542">
        <v>1.47</v>
      </c>
      <c r="K35" s="3542">
        <v>0.65</v>
      </c>
      <c r="L35" s="3543">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2">
        <f>ROUND(SUMPRODUCT(PRODUCT(1+N35:N$36)),4)</f>
        <v>1.0325</v>
      </c>
      <c r="Y35" s="3552">
        <f>ROUND(SUMPRODUCT(PRODUCT(1+O35:O$36)),4)</f>
        <v>1.0353000000000001</v>
      </c>
      <c r="Z35" s="3552">
        <f t="shared" ref="Z35:Z36" si="220">Y35</f>
        <v>1.0353000000000001</v>
      </c>
      <c r="AA35" s="3552">
        <f>ROUND(SUMPRODUCT(PRODUCT(1+P35:P$36)),4)</f>
        <v>1.0326</v>
      </c>
      <c r="AB35" s="3552">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8"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50"/>
      <c r="H36" s="3538">
        <v>2</v>
      </c>
      <c r="I36" s="3538">
        <v>2.4</v>
      </c>
      <c r="J36" s="3538">
        <v>2.0299999999999998</v>
      </c>
      <c r="K36" s="3538">
        <v>2.59</v>
      </c>
      <c r="L36" s="3539">
        <v>1.52</v>
      </c>
      <c r="N36" s="1768">
        <f t="shared" si="215"/>
        <v>2.4E-2</v>
      </c>
      <c r="O36" s="1758">
        <f t="shared" si="210"/>
        <v>2.0299999999999999E-2</v>
      </c>
      <c r="P36" s="1758">
        <f t="shared" si="210"/>
        <v>2.5899999999999999E-2</v>
      </c>
      <c r="Q36" s="1758">
        <f t="shared" si="210"/>
        <v>1.52E-2</v>
      </c>
      <c r="R36" s="1769"/>
      <c r="S36" s="1768"/>
      <c r="T36" s="1758"/>
      <c r="U36" s="1758"/>
      <c r="V36" s="1758"/>
      <c r="X36" s="3552">
        <f>1+N36</f>
        <v>1.024</v>
      </c>
      <c r="Y36" s="3552">
        <f>1+O36</f>
        <v>1.0203</v>
      </c>
      <c r="Z36" s="3552">
        <f t="shared" si="220"/>
        <v>1.0203</v>
      </c>
      <c r="AA36" s="3552">
        <f>1+P36</f>
        <v>1.0259</v>
      </c>
      <c r="AB36" s="3552">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8"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51"/>
      <c r="H37" s="3544">
        <v>1</v>
      </c>
      <c r="I37" s="3544">
        <v>2.97</v>
      </c>
      <c r="J37" s="3544">
        <v>2.34</v>
      </c>
      <c r="K37" s="3544">
        <v>3.28</v>
      </c>
      <c r="L37" s="3545">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5">
        <v>1</v>
      </c>
      <c r="Y37" s="3555">
        <v>1</v>
      </c>
      <c r="Z37" s="3555">
        <v>1</v>
      </c>
      <c r="AA37" s="3555">
        <v>1</v>
      </c>
      <c r="AB37" s="3555">
        <v>1</v>
      </c>
      <c r="AD37" s="1791">
        <f>I37/100</f>
        <v>2.9700000000000001E-2</v>
      </c>
      <c r="AE37" s="1791">
        <f>J37/100</f>
        <v>2.3399999999999997E-2</v>
      </c>
      <c r="AF37" s="1791">
        <f>AE37</f>
        <v>2.3399999999999997E-2</v>
      </c>
      <c r="AG37" s="1791">
        <f>K37/100</f>
        <v>3.2799999999999996E-2</v>
      </c>
      <c r="AH37" s="1791">
        <f>L37/100</f>
        <v>1.3600000000000001E-2</v>
      </c>
    </row>
    <row r="38" spans="1:34" ht="13.8" thickBot="1">
      <c r="A38" s="1766" t="s">
        <v>890</v>
      </c>
      <c r="B38" s="1775">
        <v>299</v>
      </c>
      <c r="C38" s="1775">
        <v>252</v>
      </c>
      <c r="D38" s="1775">
        <f t="shared" si="213"/>
        <v>252</v>
      </c>
      <c r="E38" s="1775">
        <v>409</v>
      </c>
      <c r="F38" s="1776">
        <v>227</v>
      </c>
      <c r="G38" s="3954">
        <v>2013</v>
      </c>
      <c r="H38" s="3546">
        <v>4</v>
      </c>
      <c r="I38" s="3546">
        <v>1.83</v>
      </c>
      <c r="J38" s="3546">
        <v>1.68</v>
      </c>
      <c r="K38" s="3546">
        <v>1.97</v>
      </c>
      <c r="L38" s="3547">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5"/>
      <c r="H39" s="3540">
        <v>3</v>
      </c>
      <c r="I39" s="3540">
        <v>1.86</v>
      </c>
      <c r="J39" s="3540">
        <v>1.72</v>
      </c>
      <c r="K39" s="3540">
        <v>1.98</v>
      </c>
      <c r="L39" s="3541">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5"/>
      <c r="H40" s="3536">
        <v>2</v>
      </c>
      <c r="I40" s="3536">
        <v>2.04</v>
      </c>
      <c r="J40" s="3536">
        <v>2.33</v>
      </c>
      <c r="K40" s="3536">
        <v>2.0699999999999998</v>
      </c>
      <c r="L40" s="3537">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2"/>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6"/>
      <c r="H41" s="3530">
        <v>1</v>
      </c>
      <c r="I41" s="3530">
        <v>1.67</v>
      </c>
      <c r="J41" s="3530">
        <v>1.31</v>
      </c>
      <c r="K41" s="3530">
        <v>1.85</v>
      </c>
      <c r="L41" s="3533">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8" thickBot="1">
      <c r="A42" s="1766" t="s">
        <v>894</v>
      </c>
      <c r="B42" s="1796">
        <v>278</v>
      </c>
      <c r="C42" s="1796">
        <v>234</v>
      </c>
      <c r="D42" s="1796">
        <f t="shared" si="213"/>
        <v>234</v>
      </c>
      <c r="E42" s="1796">
        <v>379</v>
      </c>
      <c r="F42" s="1797">
        <v>220</v>
      </c>
      <c r="G42" s="3949">
        <v>2012</v>
      </c>
      <c r="H42" s="3538">
        <v>4</v>
      </c>
      <c r="I42" s="3538">
        <v>0.91</v>
      </c>
      <c r="J42" s="3538">
        <v>0.68</v>
      </c>
      <c r="K42" s="3538">
        <v>0.98</v>
      </c>
      <c r="L42" s="3539">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50"/>
      <c r="H43" s="3540">
        <v>3</v>
      </c>
      <c r="I43" s="3540">
        <v>0.09</v>
      </c>
      <c r="J43" s="3540">
        <v>0.28999999999999998</v>
      </c>
      <c r="K43" s="3540">
        <v>-0.01</v>
      </c>
      <c r="L43" s="3541">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50"/>
      <c r="H44" s="3536">
        <v>2</v>
      </c>
      <c r="I44" s="3536">
        <v>0.02</v>
      </c>
      <c r="J44" s="3536">
        <v>0.12</v>
      </c>
      <c r="K44" s="3536">
        <v>-0.08</v>
      </c>
      <c r="L44" s="3537">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8" thickBot="1">
      <c r="A45" s="1766" t="s">
        <v>897</v>
      </c>
      <c r="B45" s="1767">
        <f>B44/(1+N44)</f>
        <v>275.19025476197027</v>
      </c>
      <c r="C45" s="1798">
        <v>232</v>
      </c>
      <c r="D45" s="1798">
        <f t="shared" si="213"/>
        <v>232</v>
      </c>
      <c r="E45" s="1767">
        <f t="shared" si="224"/>
        <v>375.65990977608692</v>
      </c>
      <c r="F45" s="1767">
        <f t="shared" si="224"/>
        <v>214.12518283971252</v>
      </c>
      <c r="G45" s="3951"/>
      <c r="H45" s="3530">
        <v>1</v>
      </c>
      <c r="I45" s="3530">
        <v>0.02</v>
      </c>
      <c r="J45" s="3530">
        <v>0.13</v>
      </c>
      <c r="K45" s="3530">
        <v>-0.04</v>
      </c>
      <c r="L45" s="3533">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8" thickBot="1">
      <c r="A46" s="1766" t="s">
        <v>898</v>
      </c>
      <c r="B46" s="1775">
        <v>275</v>
      </c>
      <c r="C46" s="1775">
        <v>232</v>
      </c>
      <c r="D46" s="1775">
        <f t="shared" si="213"/>
        <v>232</v>
      </c>
      <c r="E46" s="1775">
        <v>376</v>
      </c>
      <c r="F46" s="1776">
        <v>213</v>
      </c>
      <c r="G46" s="3949">
        <v>2011</v>
      </c>
      <c r="H46" s="3538">
        <v>4</v>
      </c>
      <c r="I46" s="3538">
        <v>-0.2</v>
      </c>
      <c r="J46" s="3538">
        <v>0.04</v>
      </c>
      <c r="K46" s="3538">
        <v>-0.34</v>
      </c>
      <c r="L46" s="3539">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50">
        <v>2011</v>
      </c>
      <c r="H47" s="3540">
        <v>3</v>
      </c>
      <c r="I47" s="3540">
        <v>0.13</v>
      </c>
      <c r="J47" s="3540">
        <v>0.75</v>
      </c>
      <c r="K47" s="3540">
        <v>-0.08</v>
      </c>
      <c r="L47" s="3541">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50">
        <v>2011</v>
      </c>
      <c r="H48" s="3536">
        <v>2</v>
      </c>
      <c r="I48" s="3536">
        <v>-0.4</v>
      </c>
      <c r="J48" s="3536">
        <v>0.17</v>
      </c>
      <c r="K48" s="3536">
        <v>-0.57999999999999996</v>
      </c>
      <c r="L48" s="3537">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8"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51">
        <v>2011</v>
      </c>
      <c r="H49" s="3530">
        <v>1</v>
      </c>
      <c r="I49" s="3530">
        <v>2.65</v>
      </c>
      <c r="J49" s="3530">
        <v>3.76</v>
      </c>
      <c r="K49" s="3530">
        <v>1.89</v>
      </c>
      <c r="L49" s="3533">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8" thickBot="1">
      <c r="A50" s="1766" t="s">
        <v>902</v>
      </c>
      <c r="B50" s="1775">
        <v>269</v>
      </c>
      <c r="C50" s="1775">
        <v>221</v>
      </c>
      <c r="D50" s="1775">
        <f t="shared" si="213"/>
        <v>221</v>
      </c>
      <c r="E50" s="1775">
        <v>373</v>
      </c>
      <c r="F50" s="1776">
        <v>196</v>
      </c>
      <c r="G50" s="3949">
        <v>2010</v>
      </c>
      <c r="H50" s="3538">
        <v>4</v>
      </c>
      <c r="I50" s="3538">
        <v>5.72</v>
      </c>
      <c r="J50" s="3538">
        <v>6.57</v>
      </c>
      <c r="K50" s="3538">
        <v>5.72</v>
      </c>
      <c r="L50" s="3539">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50">
        <v>2010</v>
      </c>
      <c r="H51" s="3540">
        <v>3</v>
      </c>
      <c r="I51" s="3540">
        <v>4.7300000000000004</v>
      </c>
      <c r="J51" s="3540">
        <v>3.9</v>
      </c>
      <c r="K51" s="3540">
        <v>5.03</v>
      </c>
      <c r="L51" s="3541">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50">
        <v>2010</v>
      </c>
      <c r="H52" s="3536">
        <v>2</v>
      </c>
      <c r="I52" s="3536">
        <v>4.6900000000000004</v>
      </c>
      <c r="J52" s="3536">
        <v>3.55</v>
      </c>
      <c r="K52" s="3536">
        <v>5.07</v>
      </c>
      <c r="L52" s="3537">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8"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51">
        <v>2010</v>
      </c>
      <c r="H53" s="3530">
        <v>1</v>
      </c>
      <c r="I53" s="3530">
        <v>5.4</v>
      </c>
      <c r="J53" s="3530">
        <v>3.2</v>
      </c>
      <c r="K53" s="3530">
        <v>6.16</v>
      </c>
      <c r="L53" s="3533">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8" thickBot="1">
      <c r="A54" s="1766" t="s">
        <v>906</v>
      </c>
      <c r="B54" s="1775">
        <v>220</v>
      </c>
      <c r="C54" s="1775">
        <v>187</v>
      </c>
      <c r="D54" s="1775">
        <f t="shared" si="213"/>
        <v>187</v>
      </c>
      <c r="E54" s="1775">
        <v>301</v>
      </c>
      <c r="F54" s="1776">
        <v>168</v>
      </c>
      <c r="G54" s="3949">
        <v>2009</v>
      </c>
      <c r="H54" s="3538">
        <v>4</v>
      </c>
      <c r="I54" s="3538">
        <v>2.2999999999999998</v>
      </c>
      <c r="J54" s="3538">
        <v>1.04</v>
      </c>
      <c r="K54" s="3538">
        <v>2.84</v>
      </c>
      <c r="L54" s="3539">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50">
        <v>2009</v>
      </c>
      <c r="H55" s="3540">
        <v>3</v>
      </c>
      <c r="I55" s="3540">
        <v>2.1</v>
      </c>
      <c r="J55" s="3540">
        <v>1.86</v>
      </c>
      <c r="K55" s="3540">
        <v>2.29</v>
      </c>
      <c r="L55" s="3541">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50">
        <v>2009</v>
      </c>
      <c r="H56" s="3536">
        <v>2</v>
      </c>
      <c r="I56" s="3536">
        <v>0.86</v>
      </c>
      <c r="J56" s="3536">
        <v>-1.1299999999999999</v>
      </c>
      <c r="K56" s="3536">
        <v>1.79</v>
      </c>
      <c r="L56" s="3537">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51">
        <v>2009</v>
      </c>
      <c r="H57" s="3530">
        <v>1</v>
      </c>
      <c r="I57" s="3530">
        <v>-2.64</v>
      </c>
      <c r="J57" s="3530">
        <v>-2.5299999999999998</v>
      </c>
      <c r="K57" s="3530">
        <v>-3.02</v>
      </c>
      <c r="L57" s="3533">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8" thickBot="1">
      <c r="A58" s="1766" t="s">
        <v>910</v>
      </c>
      <c r="B58" s="1796">
        <v>214</v>
      </c>
      <c r="C58" s="1796">
        <v>188</v>
      </c>
      <c r="D58" s="1796">
        <f t="shared" si="213"/>
        <v>188</v>
      </c>
      <c r="E58" s="1796">
        <v>289</v>
      </c>
      <c r="F58" s="1797">
        <v>166</v>
      </c>
      <c r="G58" s="3949">
        <v>2008</v>
      </c>
      <c r="H58" s="3538">
        <v>4</v>
      </c>
      <c r="I58" s="3538">
        <v>1.73</v>
      </c>
      <c r="J58" s="3538">
        <v>0.03</v>
      </c>
      <c r="K58" s="3538">
        <v>2.59</v>
      </c>
      <c r="L58" s="3539">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50">
        <v>2008</v>
      </c>
      <c r="H59" s="3540">
        <v>3</v>
      </c>
      <c r="I59" s="3540">
        <v>1.96</v>
      </c>
      <c r="J59" s="3540">
        <v>2.36</v>
      </c>
      <c r="K59" s="3540">
        <v>1.82</v>
      </c>
      <c r="L59" s="3541">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50">
        <v>2008</v>
      </c>
      <c r="H60" s="3536">
        <v>2</v>
      </c>
      <c r="I60" s="3536">
        <v>4.93</v>
      </c>
      <c r="J60" s="3536">
        <v>7.38</v>
      </c>
      <c r="K60" s="3536">
        <v>3.98</v>
      </c>
      <c r="L60" s="3537">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8"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51">
        <v>2008</v>
      </c>
      <c r="H61" s="3548">
        <v>1</v>
      </c>
      <c r="I61" s="3548">
        <v>4.1399999999999997</v>
      </c>
      <c r="J61" s="3548">
        <v>3.45</v>
      </c>
      <c r="K61" s="3548">
        <v>4.95</v>
      </c>
      <c r="L61" s="3549">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3"/>
      <c r="Y61" s="3563"/>
      <c r="Z61" s="3563"/>
      <c r="AA61" s="3563"/>
      <c r="AB61" s="3563"/>
    </row>
    <row r="62" spans="1:28" ht="13.8" thickBot="1">
      <c r="A62" s="1766" t="s">
        <v>914</v>
      </c>
      <c r="B62" s="1775">
        <v>188</v>
      </c>
      <c r="C62" s="1775">
        <v>165</v>
      </c>
      <c r="D62" s="1775">
        <f t="shared" si="213"/>
        <v>165</v>
      </c>
      <c r="E62" s="1775">
        <v>254</v>
      </c>
      <c r="F62" s="1776">
        <v>148</v>
      </c>
      <c r="G62" s="3949">
        <v>2007</v>
      </c>
      <c r="H62" s="3550">
        <v>4</v>
      </c>
      <c r="I62" s="3550">
        <v>5.51</v>
      </c>
      <c r="J62" s="3550">
        <v>4.8899999999999997</v>
      </c>
      <c r="K62" s="3550">
        <v>6.43</v>
      </c>
      <c r="L62" s="3551">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50">
        <v>2007</v>
      </c>
      <c r="H63" s="3540">
        <v>3</v>
      </c>
      <c r="I63" s="3540">
        <v>8.65</v>
      </c>
      <c r="J63" s="3540">
        <v>8.06</v>
      </c>
      <c r="K63" s="3540">
        <v>9.94</v>
      </c>
      <c r="L63" s="3541">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50">
        <v>2007</v>
      </c>
      <c r="H64" s="3536">
        <v>2</v>
      </c>
      <c r="I64" s="3536">
        <v>3.67</v>
      </c>
      <c r="J64" s="3536">
        <v>2.3199999999999998</v>
      </c>
      <c r="K64" s="3536">
        <v>5.0199999999999996</v>
      </c>
      <c r="L64" s="3537">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51">
        <v>2007</v>
      </c>
      <c r="H65" s="3530">
        <v>1</v>
      </c>
      <c r="I65" s="3530">
        <v>3.58</v>
      </c>
      <c r="J65" s="3530">
        <v>3.08</v>
      </c>
      <c r="K65" s="3530">
        <v>4.34</v>
      </c>
      <c r="L65" s="3533">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8" thickBot="1">
      <c r="A66" s="1766" t="s">
        <v>918</v>
      </c>
      <c r="B66" s="1785">
        <v>159</v>
      </c>
      <c r="C66" s="1785">
        <v>141</v>
      </c>
      <c r="D66" s="1785">
        <f t="shared" si="213"/>
        <v>141</v>
      </c>
      <c r="E66" s="1785">
        <v>195</v>
      </c>
      <c r="F66" s="1786">
        <v>122</v>
      </c>
      <c r="G66" s="3949">
        <v>2006</v>
      </c>
      <c r="H66" s="3538">
        <v>4</v>
      </c>
      <c r="I66" s="3538">
        <v>3.79</v>
      </c>
      <c r="J66" s="3538">
        <v>2.21</v>
      </c>
      <c r="K66" s="3538">
        <v>5.65</v>
      </c>
      <c r="L66" s="3539">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50">
        <v>2006</v>
      </c>
      <c r="H67" s="3540">
        <v>3</v>
      </c>
      <c r="I67" s="3540">
        <v>0.92</v>
      </c>
      <c r="J67" s="3540">
        <v>1.08</v>
      </c>
      <c r="K67" s="3540">
        <v>0.73</v>
      </c>
      <c r="L67" s="3541">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50">
        <v>2006</v>
      </c>
      <c r="H68" s="3536">
        <v>2</v>
      </c>
      <c r="I68" s="3536">
        <v>0.96</v>
      </c>
      <c r="J68" s="3536">
        <v>0.25</v>
      </c>
      <c r="K68" s="3536">
        <v>1.9</v>
      </c>
      <c r="L68" s="3537">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51">
        <v>2006</v>
      </c>
      <c r="H69" s="3530">
        <v>1</v>
      </c>
      <c r="I69" s="3530">
        <v>2.29</v>
      </c>
      <c r="J69" s="3530">
        <v>3.72</v>
      </c>
      <c r="K69" s="3530">
        <v>0.75</v>
      </c>
      <c r="L69" s="3533">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8" thickBot="1">
      <c r="A70" s="1766" t="s">
        <v>922</v>
      </c>
      <c r="B70" s="1785">
        <v>138</v>
      </c>
      <c r="C70" s="1785">
        <v>131</v>
      </c>
      <c r="D70" s="1785">
        <f t="shared" si="213"/>
        <v>131</v>
      </c>
      <c r="E70" s="1785">
        <v>155</v>
      </c>
      <c r="F70" s="1786">
        <v>114</v>
      </c>
      <c r="G70" s="3949">
        <v>2005</v>
      </c>
      <c r="H70" s="3538">
        <v>4</v>
      </c>
      <c r="I70" s="3538">
        <v>3.29</v>
      </c>
      <c r="J70" s="3538">
        <v>1.44</v>
      </c>
      <c r="K70" s="3538">
        <v>0.66</v>
      </c>
      <c r="L70" s="3539">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50">
        <v>2005</v>
      </c>
      <c r="H71" s="3540">
        <v>3</v>
      </c>
      <c r="I71" s="3540">
        <v>0.46</v>
      </c>
      <c r="J71" s="3540">
        <v>0.32</v>
      </c>
      <c r="K71" s="3540">
        <v>0.42</v>
      </c>
      <c r="L71" s="3541">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50">
        <v>2005</v>
      </c>
      <c r="H72" s="3536">
        <v>2</v>
      </c>
      <c r="I72" s="3536">
        <v>0.47</v>
      </c>
      <c r="J72" s="3536">
        <v>0.1</v>
      </c>
      <c r="K72" s="3536">
        <v>0.52</v>
      </c>
      <c r="L72" s="3537">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51">
        <v>2005</v>
      </c>
      <c r="H73" s="3530">
        <v>1</v>
      </c>
      <c r="I73" s="3530">
        <v>0.43</v>
      </c>
      <c r="J73" s="3530">
        <v>0.37</v>
      </c>
      <c r="K73" s="3530">
        <v>0.37</v>
      </c>
      <c r="L73" s="3533">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8" thickBot="1">
      <c r="A74" s="1766" t="s">
        <v>926</v>
      </c>
      <c r="B74" s="1796">
        <v>121</v>
      </c>
      <c r="C74" s="1796">
        <v>122</v>
      </c>
      <c r="D74" s="1796">
        <f t="shared" si="213"/>
        <v>122</v>
      </c>
      <c r="E74" s="1796">
        <v>124</v>
      </c>
      <c r="F74" s="1797">
        <v>107</v>
      </c>
      <c r="G74" s="3949">
        <v>2004</v>
      </c>
      <c r="H74" s="3538">
        <v>4</v>
      </c>
      <c r="I74" s="3538">
        <v>0.33</v>
      </c>
      <c r="J74" s="3538">
        <v>0.5</v>
      </c>
      <c r="K74" s="3538">
        <v>0.5</v>
      </c>
      <c r="L74" s="3539">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50">
        <v>2004</v>
      </c>
      <c r="H75" s="3540">
        <v>3</v>
      </c>
      <c r="I75" s="3540">
        <v>0.56000000000000005</v>
      </c>
      <c r="J75" s="3540">
        <v>0.8</v>
      </c>
      <c r="K75" s="3540">
        <v>0.83</v>
      </c>
      <c r="L75" s="3541">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50">
        <v>2004</v>
      </c>
      <c r="H76" s="3536">
        <v>2</v>
      </c>
      <c r="I76" s="3536">
        <v>1</v>
      </c>
      <c r="J76" s="3536">
        <v>1.5</v>
      </c>
      <c r="K76" s="3536">
        <v>1.5</v>
      </c>
      <c r="L76" s="3537">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8"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51">
        <v>2004</v>
      </c>
      <c r="H77" s="3548">
        <v>1</v>
      </c>
      <c r="I77" s="3548">
        <v>0.33</v>
      </c>
      <c r="J77" s="3548">
        <v>0.5</v>
      </c>
      <c r="K77" s="3548">
        <v>0.5</v>
      </c>
      <c r="L77" s="3549">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3"/>
      <c r="Y77" s="3563"/>
      <c r="Z77" s="3563"/>
      <c r="AA77" s="3563"/>
      <c r="AB77" s="3563"/>
    </row>
    <row r="78" spans="1:28" ht="13.8" thickBot="1">
      <c r="A78" s="1766" t="s">
        <v>930</v>
      </c>
      <c r="B78" s="1810">
        <v>111</v>
      </c>
      <c r="C78" s="1810">
        <v>114</v>
      </c>
      <c r="D78" s="1810">
        <f t="shared" si="213"/>
        <v>114</v>
      </c>
      <c r="E78" s="1810">
        <v>108</v>
      </c>
      <c r="F78" s="1811">
        <v>104</v>
      </c>
      <c r="G78" s="3949">
        <v>2003</v>
      </c>
      <c r="H78" s="3550">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50">
        <v>2003</v>
      </c>
      <c r="H79" s="3540">
        <v>3</v>
      </c>
    </row>
    <row r="80" spans="1:28">
      <c r="A80" s="1766" t="s">
        <v>932</v>
      </c>
      <c r="B80" s="1814">
        <f t="shared" si="249"/>
        <v>108.5</v>
      </c>
      <c r="C80" s="1814">
        <f t="shared" si="249"/>
        <v>110.5</v>
      </c>
      <c r="D80" s="1814">
        <f t="shared" si="213"/>
        <v>110.5</v>
      </c>
      <c r="E80" s="1814">
        <f t="shared" si="250"/>
        <v>106.5</v>
      </c>
      <c r="F80" s="1814">
        <f t="shared" si="250"/>
        <v>103</v>
      </c>
      <c r="G80" s="3950">
        <v>2003</v>
      </c>
      <c r="H80" s="3536">
        <v>2</v>
      </c>
    </row>
    <row r="81" spans="1:28" ht="13.8" thickBot="1">
      <c r="A81" s="1766" t="s">
        <v>933</v>
      </c>
      <c r="B81" s="1814">
        <f t="shared" si="249"/>
        <v>107.25</v>
      </c>
      <c r="C81" s="1814">
        <f t="shared" si="249"/>
        <v>108.75</v>
      </c>
      <c r="D81" s="1814">
        <f t="shared" si="213"/>
        <v>108.75</v>
      </c>
      <c r="E81" s="1814">
        <f t="shared" si="250"/>
        <v>105.75</v>
      </c>
      <c r="F81" s="1814">
        <f t="shared" si="250"/>
        <v>102.5</v>
      </c>
      <c r="G81" s="3951">
        <v>2003</v>
      </c>
      <c r="H81" s="3553">
        <v>1</v>
      </c>
      <c r="S81" s="1768"/>
      <c r="T81" s="1758"/>
      <c r="U81" s="1758"/>
    </row>
    <row r="82" spans="1:28" ht="13.8" thickBot="1">
      <c r="A82" s="1766" t="s">
        <v>934</v>
      </c>
      <c r="B82" s="1815">
        <v>106</v>
      </c>
      <c r="C82" s="1815">
        <v>107</v>
      </c>
      <c r="D82" s="1815">
        <f t="shared" si="213"/>
        <v>107</v>
      </c>
      <c r="E82" s="1815">
        <v>105</v>
      </c>
      <c r="F82" s="1816">
        <v>102</v>
      </c>
      <c r="G82" s="3949">
        <v>2002</v>
      </c>
      <c r="H82" s="3538">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50">
        <v>2002</v>
      </c>
      <c r="H83" s="3540">
        <v>3</v>
      </c>
    </row>
    <row r="84" spans="1:28">
      <c r="A84" s="1766" t="s">
        <v>936</v>
      </c>
      <c r="B84" s="1814">
        <f t="shared" si="251"/>
        <v>104</v>
      </c>
      <c r="C84" s="1814">
        <f t="shared" si="251"/>
        <v>105</v>
      </c>
      <c r="D84" s="1814">
        <f t="shared" si="213"/>
        <v>105</v>
      </c>
      <c r="E84" s="1814">
        <f t="shared" si="252"/>
        <v>104</v>
      </c>
      <c r="F84" s="1814">
        <f t="shared" si="252"/>
        <v>101</v>
      </c>
      <c r="G84" s="3950">
        <v>2002</v>
      </c>
      <c r="H84" s="3536">
        <v>2</v>
      </c>
    </row>
    <row r="85" spans="1:28" s="1789" customFormat="1" ht="13.8" thickBot="1">
      <c r="A85" s="1787" t="s">
        <v>937</v>
      </c>
      <c r="B85" s="1792">
        <f t="shared" si="251"/>
        <v>103</v>
      </c>
      <c r="C85" s="1792">
        <f t="shared" si="251"/>
        <v>104</v>
      </c>
      <c r="D85" s="1792">
        <f t="shared" si="213"/>
        <v>104</v>
      </c>
      <c r="E85" s="1792">
        <f t="shared" si="252"/>
        <v>103.5</v>
      </c>
      <c r="F85" s="1792">
        <f t="shared" si="252"/>
        <v>100.5</v>
      </c>
      <c r="G85" s="3951">
        <v>2002</v>
      </c>
      <c r="H85" s="3554">
        <v>1</v>
      </c>
      <c r="I85" s="3555"/>
      <c r="J85" s="3555"/>
      <c r="K85" s="3555"/>
      <c r="L85" s="3555"/>
      <c r="N85" s="1817"/>
      <c r="S85" s="1817"/>
      <c r="X85" s="3555"/>
      <c r="Y85" s="3555"/>
      <c r="Z85" s="3555"/>
      <c r="AA85" s="3555"/>
      <c r="AB85" s="3555"/>
    </row>
    <row r="86" spans="1:28" ht="13.8"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7"/>
      <c r="H88" s="3558"/>
      <c r="I88" s="3558"/>
      <c r="J88" s="3558"/>
      <c r="K88" s="3558"/>
      <c r="L88" s="3558"/>
      <c r="N88" s="1823"/>
      <c r="S88" s="1823"/>
      <c r="X88" s="3558"/>
      <c r="Y88" s="3558"/>
      <c r="Z88" s="3558"/>
      <c r="AA88" s="3558"/>
      <c r="AB88" s="3558"/>
    </row>
    <row r="89" spans="1:28" s="1822" customFormat="1">
      <c r="A89" s="1822" t="s">
        <v>939</v>
      </c>
      <c r="G89" s="3557"/>
      <c r="H89" s="3558"/>
      <c r="I89" s="3558"/>
      <c r="J89" s="3558"/>
      <c r="K89" s="3558"/>
      <c r="L89" s="3558"/>
      <c r="N89" s="1823"/>
      <c r="S89" s="1823"/>
      <c r="X89" s="3558"/>
      <c r="Y89" s="3558"/>
      <c r="Z89" s="3558"/>
      <c r="AA89" s="3558"/>
      <c r="AB89" s="3558"/>
    </row>
    <row r="90" spans="1:28" s="1822" customFormat="1">
      <c r="A90" s="1822" t="s">
        <v>940</v>
      </c>
      <c r="G90" s="3557"/>
      <c r="H90" s="3558"/>
      <c r="I90" s="3558"/>
      <c r="J90" s="3558"/>
      <c r="K90" s="3558"/>
      <c r="L90" s="3558"/>
      <c r="N90" s="1825"/>
      <c r="O90" s="1824"/>
      <c r="P90" s="1824"/>
      <c r="Q90" s="1824"/>
      <c r="S90" s="1825"/>
      <c r="T90" s="1824"/>
      <c r="U90" s="1824"/>
      <c r="V90" s="1824"/>
      <c r="X90" s="3558"/>
      <c r="Y90" s="3558"/>
      <c r="Z90" s="3558"/>
      <c r="AA90" s="3558"/>
      <c r="AB90" s="3558"/>
    </row>
    <row r="91" spans="1:28" s="1822" customFormat="1">
      <c r="A91" s="1822" t="s">
        <v>941</v>
      </c>
      <c r="G91" s="3557"/>
      <c r="H91" s="3558"/>
      <c r="I91" s="3558"/>
      <c r="J91" s="3558"/>
      <c r="K91" s="3558"/>
      <c r="L91" s="3558"/>
      <c r="N91" s="1823"/>
      <c r="S91" s="1823"/>
      <c r="X91" s="3558"/>
      <c r="Y91" s="3558"/>
      <c r="Z91" s="3558"/>
      <c r="AA91" s="3558"/>
      <c r="AB91" s="3558"/>
    </row>
    <row r="98" spans="7:22" ht="13.8" thickBot="1"/>
    <row r="99" spans="7:22">
      <c r="G99" s="3552"/>
      <c r="S99" s="1826" t="s">
        <v>942</v>
      </c>
      <c r="T99" s="1827" t="s">
        <v>943</v>
      </c>
      <c r="U99" s="1827" t="s">
        <v>944</v>
      </c>
      <c r="V99" s="1827" t="s">
        <v>945</v>
      </c>
    </row>
    <row r="100" spans="7:22">
      <c r="G100" s="3552"/>
      <c r="N100" s="1777"/>
      <c r="O100" s="1778"/>
      <c r="P100" s="1778"/>
      <c r="Q100" s="1778"/>
      <c r="S100" s="1828">
        <v>2006</v>
      </c>
      <c r="T100" s="1829">
        <v>15.1</v>
      </c>
      <c r="U100" s="1829">
        <v>7.43</v>
      </c>
      <c r="V100" s="1829">
        <v>26.26</v>
      </c>
    </row>
    <row r="101" spans="7:22">
      <c r="G101" s="3552"/>
      <c r="N101" s="1777"/>
      <c r="O101" s="1778"/>
      <c r="P101" s="1778"/>
      <c r="Q101" s="1778"/>
      <c r="S101" s="1830">
        <v>2005</v>
      </c>
      <c r="T101" s="1831">
        <v>13.9</v>
      </c>
      <c r="U101" s="1831">
        <v>7.49</v>
      </c>
      <c r="V101" s="1831">
        <v>24.92</v>
      </c>
    </row>
    <row r="102" spans="7:22">
      <c r="G102" s="3552"/>
      <c r="N102" s="1777"/>
      <c r="O102" s="1778"/>
      <c r="P102" s="1778"/>
      <c r="Q102" s="1778"/>
      <c r="S102" s="1828">
        <v>2004</v>
      </c>
      <c r="T102" s="1829">
        <v>9.48</v>
      </c>
      <c r="U102" s="1829">
        <v>7.2</v>
      </c>
      <c r="V102" s="1829">
        <v>14.68</v>
      </c>
    </row>
    <row r="103" spans="7:22">
      <c r="G103" s="3552"/>
      <c r="N103" s="1777"/>
      <c r="O103" s="1778"/>
      <c r="P103" s="1778"/>
      <c r="Q103" s="1778"/>
      <c r="S103" s="1830">
        <v>2003</v>
      </c>
      <c r="T103" s="1831">
        <v>4.5</v>
      </c>
      <c r="U103" s="1831">
        <v>6.12</v>
      </c>
      <c r="V103" s="1831">
        <v>2.34</v>
      </c>
    </row>
    <row r="104" spans="7:22" ht="13.8" thickBot="1">
      <c r="G104" s="3552"/>
      <c r="N104" s="1777"/>
      <c r="O104" s="1778"/>
      <c r="P104" s="1778"/>
      <c r="Q104" s="1778"/>
      <c r="S104" s="1832">
        <v>2002</v>
      </c>
      <c r="T104" s="1833">
        <v>3.59</v>
      </c>
      <c r="U104" s="1833">
        <v>4.54</v>
      </c>
      <c r="V104" s="1833">
        <v>2.5499999999999998</v>
      </c>
    </row>
    <row r="105" spans="7:22">
      <c r="G105" s="3552"/>
      <c r="N105" s="1777"/>
      <c r="O105" s="1778"/>
      <c r="P105" s="1778"/>
      <c r="Q105" s="1778"/>
    </row>
    <row r="106" spans="7:22">
      <c r="G106" s="3552"/>
      <c r="N106" s="1777"/>
      <c r="O106" s="1778"/>
      <c r="P106" s="1778"/>
      <c r="Q106" s="1778"/>
    </row>
    <row r="107" spans="7:22">
      <c r="G107" s="3552"/>
      <c r="N107" s="1777"/>
      <c r="O107" s="1778"/>
      <c r="P107" s="1778"/>
      <c r="Q107" s="1778"/>
    </row>
    <row r="108" spans="7:22">
      <c r="G108" s="3552"/>
      <c r="N108" s="1777"/>
      <c r="O108" s="1778"/>
      <c r="P108" s="1778"/>
      <c r="Q108" s="1778"/>
    </row>
    <row r="109" spans="7:22">
      <c r="G109" s="3552"/>
      <c r="N109" s="1777"/>
      <c r="O109" s="1778"/>
      <c r="P109" s="1778"/>
      <c r="Q109" s="1778"/>
    </row>
    <row r="110" spans="7:22">
      <c r="G110" s="3552"/>
      <c r="N110" s="1777"/>
      <c r="O110" s="1778"/>
      <c r="P110" s="1778"/>
      <c r="Q110" s="1778"/>
    </row>
    <row r="111" spans="7:22">
      <c r="G111" s="3552"/>
      <c r="N111" s="1777"/>
      <c r="O111" s="1778"/>
      <c r="P111" s="1778"/>
      <c r="Q111" s="1778"/>
    </row>
    <row r="112" spans="7:22">
      <c r="G112" s="3552"/>
      <c r="N112" s="1777"/>
      <c r="O112" s="1778"/>
      <c r="P112" s="1778"/>
      <c r="Q112" s="1778"/>
    </row>
    <row r="113" spans="7:19">
      <c r="G113" s="3552"/>
      <c r="N113" s="1777"/>
      <c r="O113" s="1778"/>
      <c r="P113" s="1778"/>
      <c r="Q113" s="1778"/>
    </row>
    <row r="114" spans="7:19">
      <c r="G114" s="3552"/>
      <c r="N114" s="1777"/>
      <c r="O114" s="1778"/>
      <c r="P114" s="1778"/>
      <c r="Q114" s="1778"/>
    </row>
    <row r="115" spans="7:19">
      <c r="G115" s="3552"/>
      <c r="N115" s="1777"/>
      <c r="O115" s="1778"/>
      <c r="P115" s="1778"/>
      <c r="Q115" s="1778"/>
      <c r="S115" s="1757"/>
    </row>
    <row r="116" spans="7:19">
      <c r="G116" s="3552"/>
      <c r="N116" s="1777"/>
      <c r="O116" s="1778"/>
      <c r="P116" s="1778"/>
      <c r="Q116" s="1778"/>
      <c r="S116" s="1757"/>
    </row>
    <row r="117" spans="7:19">
      <c r="G117" s="3552"/>
      <c r="N117" s="1777"/>
      <c r="O117" s="1778"/>
      <c r="P117" s="1778"/>
      <c r="Q117" s="1778"/>
      <c r="S117" s="1757"/>
    </row>
    <row r="118" spans="7:19">
      <c r="G118" s="3552"/>
      <c r="N118" s="1777"/>
      <c r="O118" s="1778"/>
      <c r="P118" s="1778"/>
      <c r="Q118" s="1778"/>
      <c r="S118" s="1757"/>
    </row>
    <row r="119" spans="7:19">
      <c r="G119" s="3552"/>
      <c r="N119" s="1777"/>
      <c r="O119" s="1778"/>
      <c r="P119" s="1778"/>
      <c r="Q119" s="1778"/>
      <c r="S119" s="1757"/>
    </row>
    <row r="120" spans="7:19">
      <c r="G120" s="3552"/>
      <c r="N120" s="1777"/>
      <c r="O120" s="1778"/>
      <c r="P120" s="1778"/>
      <c r="Q120" s="1778"/>
      <c r="S120" s="17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219" customWidth="1"/>
    <col min="2" max="2" width="15.77734375" style="219" customWidth="1"/>
    <col min="3" max="3" width="14.332031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4.4">
      <c r="A4" s="217" t="s">
        <v>2223</v>
      </c>
      <c r="B4" s="218"/>
      <c r="C4" s="3915" t="s">
        <v>2224</v>
      </c>
      <c r="D4" s="3916"/>
      <c r="E4" s="3917" t="s">
        <v>2225</v>
      </c>
      <c r="F4" s="3918"/>
      <c r="G4" s="3915" t="s">
        <v>2226</v>
      </c>
      <c r="H4" s="3916"/>
      <c r="I4" s="3915" t="s">
        <v>2227</v>
      </c>
      <c r="J4" s="3916"/>
      <c r="K4" s="414" t="s">
        <v>2228</v>
      </c>
      <c r="L4" s="2101"/>
      <c r="M4" s="2102"/>
      <c r="N4" s="2102"/>
      <c r="O4" s="2102"/>
      <c r="P4" s="3824" t="s">
        <v>2229</v>
      </c>
      <c r="Q4" s="3825"/>
      <c r="R4" s="3806" t="s">
        <v>2225</v>
      </c>
      <c r="S4" s="3807"/>
      <c r="T4" s="3806" t="s">
        <v>2226</v>
      </c>
      <c r="U4" s="3807"/>
      <c r="V4" s="3832" t="s">
        <v>2227</v>
      </c>
      <c r="W4" s="3832"/>
      <c r="X4" s="1161"/>
      <c r="Y4" s="3806" t="s">
        <v>2229</v>
      </c>
      <c r="Z4" s="3807"/>
      <c r="AA4" s="3801" t="s">
        <v>2225</v>
      </c>
      <c r="AB4" s="3802" t="s">
        <v>2226</v>
      </c>
      <c r="AC4" s="3801" t="s">
        <v>2227</v>
      </c>
    </row>
    <row r="5" spans="1:29">
      <c r="A5" s="220"/>
      <c r="B5" s="221"/>
      <c r="C5" s="3908" t="s">
        <v>2120</v>
      </c>
      <c r="D5" s="3909"/>
      <c r="E5" s="3906" t="s">
        <v>2121</v>
      </c>
      <c r="F5" s="3907"/>
      <c r="G5" s="3908" t="s">
        <v>2122</v>
      </c>
      <c r="H5" s="3909"/>
      <c r="I5" s="3908" t="s">
        <v>2123</v>
      </c>
      <c r="J5" s="3909"/>
      <c r="K5" s="414"/>
      <c r="L5" s="2101"/>
      <c r="M5" s="2102"/>
      <c r="N5" s="2102"/>
      <c r="O5" s="2102"/>
      <c r="P5" s="3826"/>
      <c r="Q5" s="3827"/>
      <c r="R5" s="3808"/>
      <c r="S5" s="3809"/>
      <c r="T5" s="3808"/>
      <c r="U5" s="3809"/>
      <c r="V5" s="3832"/>
      <c r="W5" s="3832"/>
      <c r="X5" s="1161"/>
      <c r="Y5" s="3808"/>
      <c r="Z5" s="3809"/>
      <c r="AA5" s="3802"/>
      <c r="AB5" s="3802"/>
      <c r="AC5" s="3802"/>
    </row>
    <row r="6" spans="1:29" ht="15" thickBot="1">
      <c r="A6" s="222"/>
      <c r="B6" s="223"/>
      <c r="C6" s="3959" t="s">
        <v>2374</v>
      </c>
      <c r="D6" s="3960"/>
      <c r="E6" s="3961" t="s">
        <v>2374</v>
      </c>
      <c r="F6" s="3962"/>
      <c r="G6" s="3959" t="s">
        <v>2374</v>
      </c>
      <c r="H6" s="3960"/>
      <c r="I6" s="3959" t="s">
        <v>2374</v>
      </c>
      <c r="J6" s="3960"/>
      <c r="K6" s="414" t="s">
        <v>2125</v>
      </c>
      <c r="L6" s="2101"/>
      <c r="M6" s="2102"/>
      <c r="N6" s="2102"/>
      <c r="O6" s="2102"/>
      <c r="P6" s="3828"/>
      <c r="Q6" s="3829"/>
      <c r="R6" s="3808"/>
      <c r="S6" s="3809"/>
      <c r="T6" s="3830"/>
      <c r="U6" s="3831"/>
      <c r="V6" s="3832"/>
      <c r="W6" s="3832"/>
      <c r="X6" s="1161"/>
      <c r="Y6" s="3830"/>
      <c r="Z6" s="3831"/>
      <c r="AA6" s="3803"/>
      <c r="AB6" s="3803"/>
      <c r="AC6" s="3803"/>
    </row>
    <row r="7" spans="1:29" s="50" customFormat="1" ht="1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04" t="s">
        <v>2127</v>
      </c>
      <c r="Q7" s="3833"/>
      <c r="R7" s="514" t="s">
        <v>17</v>
      </c>
      <c r="S7" s="515">
        <f t="shared" ref="S7:S15" si="0">F7</f>
        <v>0</v>
      </c>
      <c r="T7" s="514" t="s">
        <v>17</v>
      </c>
      <c r="U7" s="515">
        <f t="shared" ref="U7:U15" si="1">H7</f>
        <v>0</v>
      </c>
      <c r="V7" s="514" t="s">
        <v>17</v>
      </c>
      <c r="W7" s="515">
        <f t="shared" ref="W7:W15" si="2">J7</f>
        <v>0</v>
      </c>
      <c r="X7" s="516"/>
      <c r="Y7" s="3804" t="s">
        <v>2127</v>
      </c>
      <c r="Z7" s="3805"/>
      <c r="AA7" s="517" t="e">
        <f>D7/F7</f>
        <v>#DIV/0!</v>
      </c>
      <c r="AB7" s="517" t="e">
        <f>D7/H7</f>
        <v>#DIV/0!</v>
      </c>
      <c r="AC7" s="517" t="e">
        <f>D7/J7</f>
        <v>#DIV/0!</v>
      </c>
    </row>
    <row r="8" spans="1:29" s="50" customFormat="1" ht="1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04" t="s">
        <v>2130</v>
      </c>
      <c r="Q8" s="3805"/>
      <c r="R8" s="514" t="s">
        <v>17</v>
      </c>
      <c r="S8" s="515">
        <f t="shared" si="0"/>
        <v>0</v>
      </c>
      <c r="T8" s="514" t="s">
        <v>17</v>
      </c>
      <c r="U8" s="515">
        <f t="shared" si="1"/>
        <v>0</v>
      </c>
      <c r="V8" s="514" t="s">
        <v>17</v>
      </c>
      <c r="W8" s="515">
        <f t="shared" si="2"/>
        <v>0</v>
      </c>
      <c r="X8" s="516"/>
      <c r="Y8" s="3804" t="s">
        <v>2130</v>
      </c>
      <c r="Z8" s="3805"/>
      <c r="AA8" s="517" t="e">
        <f t="shared" ref="AA8:AA40" si="3">D8/F8</f>
        <v>#DIV/0!</v>
      </c>
      <c r="AB8" s="517" t="e">
        <f t="shared" ref="AB8:AB40" si="4">D8/H8</f>
        <v>#DIV/0!</v>
      </c>
      <c r="AC8" s="517" t="e">
        <f t="shared" ref="AC8:AC40" si="5">D8/J8</f>
        <v>#DIV/0!</v>
      </c>
    </row>
    <row r="9" spans="1:29" s="50" customFormat="1" ht="14.4">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18" t="s">
        <v>2133</v>
      </c>
      <c r="Q9" s="1150" t="str">
        <f t="shared" ref="Q9:Q15" si="6">B9</f>
        <v>用途</v>
      </c>
      <c r="R9" s="514" t="s">
        <v>17</v>
      </c>
      <c r="S9" s="515">
        <f t="shared" si="0"/>
        <v>100</v>
      </c>
      <c r="T9" s="514" t="s">
        <v>17</v>
      </c>
      <c r="U9" s="515">
        <f t="shared" si="1"/>
        <v>100</v>
      </c>
      <c r="V9" s="514" t="s">
        <v>17</v>
      </c>
      <c r="W9" s="515">
        <f t="shared" si="2"/>
        <v>100</v>
      </c>
      <c r="X9" s="516"/>
      <c r="Y9" s="3819" t="s">
        <v>2134</v>
      </c>
      <c r="Z9" s="46" t="str">
        <f t="shared" ref="Z9:Z15" si="7">Q9</f>
        <v>用途</v>
      </c>
      <c r="AA9" s="517">
        <f t="shared" si="3"/>
        <v>1</v>
      </c>
      <c r="AB9" s="517">
        <f t="shared" si="4"/>
        <v>1</v>
      </c>
      <c r="AC9" s="517">
        <f t="shared" si="5"/>
        <v>1</v>
      </c>
    </row>
    <row r="10" spans="1:29" s="241" customFormat="1" ht="28.8">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18"/>
      <c r="Q10" s="1150" t="str">
        <f t="shared" si="6"/>
        <v>土地使用年限（年）</v>
      </c>
      <c r="R10" s="514" t="s">
        <v>17</v>
      </c>
      <c r="S10" s="515">
        <f t="shared" si="0"/>
        <v>101</v>
      </c>
      <c r="T10" s="514" t="s">
        <v>17</v>
      </c>
      <c r="U10" s="515">
        <f t="shared" si="1"/>
        <v>101</v>
      </c>
      <c r="V10" s="514" t="s">
        <v>17</v>
      </c>
      <c r="W10" s="515">
        <f t="shared" si="2"/>
        <v>101</v>
      </c>
      <c r="X10" s="516"/>
      <c r="Y10" s="3819"/>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18"/>
      <c r="Q11" s="1150" t="str">
        <f t="shared" si="6"/>
        <v>容积率</v>
      </c>
      <c r="R11" s="514" t="s">
        <v>17</v>
      </c>
      <c r="S11" s="515" t="e">
        <f t="shared" si="0"/>
        <v>#N/A</v>
      </c>
      <c r="T11" s="514" t="s">
        <v>17</v>
      </c>
      <c r="U11" s="515" t="e">
        <f t="shared" si="1"/>
        <v>#N/A</v>
      </c>
      <c r="V11" s="514" t="s">
        <v>17</v>
      </c>
      <c r="W11" s="515" t="e">
        <f t="shared" si="2"/>
        <v>#N/A</v>
      </c>
      <c r="X11" s="516"/>
      <c r="Y11" s="3819"/>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18"/>
      <c r="Q12" s="1150">
        <f t="shared" si="6"/>
        <v>111</v>
      </c>
      <c r="R12" s="514" t="s">
        <v>17</v>
      </c>
      <c r="S12" s="515">
        <f t="shared" si="0"/>
        <v>100</v>
      </c>
      <c r="T12" s="514" t="s">
        <v>17</v>
      </c>
      <c r="U12" s="515">
        <f t="shared" si="1"/>
        <v>100</v>
      </c>
      <c r="V12" s="514" t="s">
        <v>17</v>
      </c>
      <c r="W12" s="515">
        <f t="shared" si="2"/>
        <v>100</v>
      </c>
      <c r="X12" s="516"/>
      <c r="Y12" s="3819"/>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18"/>
      <c r="Q13" s="1150">
        <f t="shared" si="6"/>
        <v>111</v>
      </c>
      <c r="R13" s="514" t="s">
        <v>17</v>
      </c>
      <c r="S13" s="515">
        <f t="shared" si="0"/>
        <v>100</v>
      </c>
      <c r="T13" s="514" t="s">
        <v>17</v>
      </c>
      <c r="U13" s="515">
        <f t="shared" si="1"/>
        <v>100</v>
      </c>
      <c r="V13" s="514" t="s">
        <v>17</v>
      </c>
      <c r="W13" s="515">
        <f t="shared" si="2"/>
        <v>100</v>
      </c>
      <c r="X13" s="516"/>
      <c r="Y13" s="3819"/>
      <c r="Z13" s="46">
        <f t="shared" si="7"/>
        <v>111</v>
      </c>
      <c r="AA13" s="517">
        <f t="shared" si="3"/>
        <v>1</v>
      </c>
      <c r="AB13" s="517">
        <f t="shared" si="4"/>
        <v>1</v>
      </c>
      <c r="AC13" s="517">
        <f t="shared" si="5"/>
        <v>1</v>
      </c>
    </row>
    <row r="14" spans="1:29" ht="15.6"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18"/>
      <c r="Q14" s="1150">
        <f t="shared" si="6"/>
        <v>111</v>
      </c>
      <c r="R14" s="514" t="s">
        <v>17</v>
      </c>
      <c r="S14" s="515">
        <f t="shared" si="0"/>
        <v>100</v>
      </c>
      <c r="T14" s="514" t="s">
        <v>17</v>
      </c>
      <c r="U14" s="515">
        <f t="shared" si="1"/>
        <v>100</v>
      </c>
      <c r="V14" s="514" t="s">
        <v>17</v>
      </c>
      <c r="W14" s="515">
        <f t="shared" si="2"/>
        <v>100</v>
      </c>
      <c r="X14" s="516"/>
      <c r="Y14" s="3819"/>
      <c r="Z14" s="46">
        <f t="shared" si="7"/>
        <v>111</v>
      </c>
      <c r="AA14" s="517">
        <f t="shared" si="3"/>
        <v>1</v>
      </c>
      <c r="AB14" s="517">
        <f t="shared" si="4"/>
        <v>1</v>
      </c>
      <c r="AC14" s="517">
        <f t="shared" si="5"/>
        <v>1</v>
      </c>
    </row>
    <row r="15" spans="1:29" ht="69">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34" t="s">
        <v>2138</v>
      </c>
      <c r="Q15" s="1158" t="str">
        <f t="shared" si="6"/>
        <v>产业集聚程度</v>
      </c>
      <c r="R15" s="518" t="s">
        <v>17</v>
      </c>
      <c r="S15" s="519">
        <f t="shared" si="0"/>
        <v>100</v>
      </c>
      <c r="T15" s="518" t="s">
        <v>17</v>
      </c>
      <c r="U15" s="519">
        <f t="shared" si="1"/>
        <v>100</v>
      </c>
      <c r="V15" s="518" t="s">
        <v>17</v>
      </c>
      <c r="W15" s="519">
        <f t="shared" si="2"/>
        <v>100</v>
      </c>
      <c r="X15" s="1161"/>
      <c r="Y15" s="3834"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35"/>
      <c r="Q16" s="1158"/>
      <c r="R16" s="518"/>
      <c r="S16" s="519"/>
      <c r="T16" s="518"/>
      <c r="U16" s="519"/>
      <c r="V16" s="518"/>
      <c r="W16" s="519"/>
      <c r="X16" s="1161"/>
      <c r="Y16" s="3835"/>
      <c r="Z16" s="1162"/>
      <c r="AA16" s="1159">
        <v>1</v>
      </c>
      <c r="AB16" s="1159">
        <v>1</v>
      </c>
      <c r="AC16" s="1159">
        <v>1</v>
      </c>
    </row>
    <row r="17" spans="1:29" ht="96.6">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35"/>
      <c r="Q17" s="1158" t="str">
        <f>B17</f>
        <v>交通便捷度</v>
      </c>
      <c r="R17" s="518" t="s">
        <v>17</v>
      </c>
      <c r="S17" s="519">
        <f>F17</f>
        <v>100</v>
      </c>
      <c r="T17" s="518" t="s">
        <v>17</v>
      </c>
      <c r="U17" s="519">
        <f>H17</f>
        <v>100</v>
      </c>
      <c r="V17" s="518" t="s">
        <v>17</v>
      </c>
      <c r="W17" s="519">
        <f>J17</f>
        <v>100</v>
      </c>
      <c r="X17" s="1161"/>
      <c r="Y17" s="3835"/>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35"/>
      <c r="Q18" s="1158"/>
      <c r="R18" s="518"/>
      <c r="S18" s="519"/>
      <c r="T18" s="518"/>
      <c r="U18" s="519"/>
      <c r="V18" s="518"/>
      <c r="W18" s="519"/>
      <c r="X18" s="1161"/>
      <c r="Y18" s="3835"/>
      <c r="Z18" s="1162"/>
      <c r="AA18" s="1159">
        <v>1</v>
      </c>
      <c r="AB18" s="1159">
        <v>1</v>
      </c>
      <c r="AC18" s="1159">
        <v>1</v>
      </c>
    </row>
    <row r="19" spans="1:29" ht="28.8">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35"/>
      <c r="Q19" s="1158" t="str">
        <f t="shared" ref="Q19:Q33" si="8">B19</f>
        <v>区域土地利用方向</v>
      </c>
      <c r="R19" s="518" t="s">
        <v>17</v>
      </c>
      <c r="S19" s="519">
        <f>F19</f>
        <v>100</v>
      </c>
      <c r="T19" s="518" t="s">
        <v>17</v>
      </c>
      <c r="U19" s="519">
        <f>H19</f>
        <v>100</v>
      </c>
      <c r="V19" s="518" t="s">
        <v>17</v>
      </c>
      <c r="W19" s="519">
        <f>J19</f>
        <v>100</v>
      </c>
      <c r="X19" s="1161"/>
      <c r="Y19" s="3835"/>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35"/>
      <c r="Q20" s="1158"/>
      <c r="R20" s="518"/>
      <c r="S20" s="519"/>
      <c r="T20" s="518"/>
      <c r="U20" s="519"/>
      <c r="V20" s="518"/>
      <c r="W20" s="519"/>
      <c r="X20" s="1161"/>
      <c r="Y20" s="3835"/>
      <c r="Z20" s="1162"/>
      <c r="AA20" s="1159"/>
      <c r="AB20" s="1159"/>
      <c r="AC20" s="1159"/>
    </row>
    <row r="21" spans="1:29" ht="82.8">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35"/>
      <c r="Q21" s="1158" t="str">
        <f t="shared" si="8"/>
        <v>环境状况</v>
      </c>
      <c r="R21" s="518" t="s">
        <v>17</v>
      </c>
      <c r="S21" s="519">
        <f>F21</f>
        <v>100</v>
      </c>
      <c r="T21" s="518" t="s">
        <v>17</v>
      </c>
      <c r="U21" s="519">
        <f>H21</f>
        <v>100</v>
      </c>
      <c r="V21" s="518" t="s">
        <v>17</v>
      </c>
      <c r="W21" s="519">
        <f>J21</f>
        <v>100</v>
      </c>
      <c r="X21" s="1161"/>
      <c r="Y21" s="3835"/>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35"/>
      <c r="Q22" s="1158"/>
      <c r="R22" s="518"/>
      <c r="S22" s="519"/>
      <c r="T22" s="518"/>
      <c r="U22" s="519"/>
      <c r="V22" s="518"/>
      <c r="W22" s="519"/>
      <c r="X22" s="1161"/>
      <c r="Y22" s="3835"/>
      <c r="Z22" s="1162"/>
      <c r="AA22" s="1159">
        <v>1</v>
      </c>
      <c r="AB22" s="1159">
        <v>1</v>
      </c>
      <c r="AC22" s="1159">
        <v>1</v>
      </c>
    </row>
    <row r="23" spans="1:29" s="50" customFormat="1" ht="41.4">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35"/>
      <c r="Q23" s="1150" t="str">
        <f t="shared" si="8"/>
        <v>公共配套设施</v>
      </c>
      <c r="R23" s="514" t="s">
        <v>17</v>
      </c>
      <c r="S23" s="515">
        <f>F23</f>
        <v>100</v>
      </c>
      <c r="T23" s="514" t="s">
        <v>17</v>
      </c>
      <c r="U23" s="515">
        <f>H23</f>
        <v>100</v>
      </c>
      <c r="V23" s="514" t="s">
        <v>17</v>
      </c>
      <c r="W23" s="515">
        <f>J23</f>
        <v>100</v>
      </c>
      <c r="X23" s="516"/>
      <c r="Y23" s="3835"/>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35"/>
      <c r="Q24" s="1150"/>
      <c r="R24" s="514"/>
      <c r="S24" s="515"/>
      <c r="T24" s="514"/>
      <c r="U24" s="515"/>
      <c r="V24" s="514"/>
      <c r="W24" s="515"/>
      <c r="X24" s="516"/>
      <c r="Y24" s="3835"/>
      <c r="Z24" s="46"/>
      <c r="AA24" s="517">
        <v>1</v>
      </c>
      <c r="AB24" s="517">
        <v>1</v>
      </c>
      <c r="AC24" s="517">
        <v>1</v>
      </c>
    </row>
    <row r="25" spans="1:29" s="50" customFormat="1" ht="41.4">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35"/>
      <c r="Q25" s="1150" t="str">
        <f t="shared" ref="Q25" si="9">B25</f>
        <v>基础设施水平</v>
      </c>
      <c r="R25" s="514" t="s">
        <v>17</v>
      </c>
      <c r="S25" s="515">
        <f>F25</f>
        <v>100</v>
      </c>
      <c r="T25" s="514" t="s">
        <v>17</v>
      </c>
      <c r="U25" s="515">
        <f>H25</f>
        <v>100</v>
      </c>
      <c r="V25" s="514" t="s">
        <v>17</v>
      </c>
      <c r="W25" s="515">
        <f>J25</f>
        <v>100</v>
      </c>
      <c r="X25" s="516"/>
      <c r="Y25" s="3835"/>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35"/>
      <c r="Q26" s="1150"/>
      <c r="R26" s="514"/>
      <c r="S26" s="515"/>
      <c r="T26" s="514"/>
      <c r="U26" s="515"/>
      <c r="V26" s="514"/>
      <c r="W26" s="515"/>
      <c r="X26" s="516"/>
      <c r="Y26" s="3835"/>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35"/>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35"/>
      <c r="Z27" s="1162" t="str">
        <f t="shared" ref="Z27:Z40" si="13">Q27</f>
        <v>临街状况</v>
      </c>
      <c r="AA27" s="1159">
        <f t="shared" si="3"/>
        <v>1</v>
      </c>
      <c r="AB27" s="1159">
        <f t="shared" si="4"/>
        <v>1</v>
      </c>
      <c r="AC27" s="1159">
        <f t="shared" si="5"/>
        <v>1</v>
      </c>
    </row>
    <row r="28" spans="1:29" ht="28.8">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35"/>
      <c r="Q28" s="1158" t="str">
        <f t="shared" si="8"/>
        <v>毗邻道路的类型与等级</v>
      </c>
      <c r="R28" s="518" t="s">
        <v>17</v>
      </c>
      <c r="S28" s="519">
        <f t="shared" si="10"/>
        <v>100</v>
      </c>
      <c r="T28" s="518" t="s">
        <v>17</v>
      </c>
      <c r="U28" s="519">
        <f t="shared" si="11"/>
        <v>100</v>
      </c>
      <c r="V28" s="518" t="s">
        <v>17</v>
      </c>
      <c r="W28" s="519">
        <f t="shared" si="12"/>
        <v>100</v>
      </c>
      <c r="X28" s="1161"/>
      <c r="Y28" s="3835"/>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35"/>
      <c r="Q29" s="1158"/>
      <c r="R29" s="518"/>
      <c r="S29" s="519"/>
      <c r="T29" s="518"/>
      <c r="U29" s="519"/>
      <c r="V29" s="518"/>
      <c r="W29" s="519"/>
      <c r="X29" s="1161"/>
      <c r="Y29" s="3835"/>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35"/>
      <c r="Q30" s="1158" t="str">
        <f t="shared" si="8"/>
        <v>土地级别</v>
      </c>
      <c r="R30" s="518" t="s">
        <v>17</v>
      </c>
      <c r="S30" s="519">
        <f t="shared" si="10"/>
        <v>100</v>
      </c>
      <c r="T30" s="518" t="s">
        <v>17</v>
      </c>
      <c r="U30" s="519">
        <f t="shared" si="11"/>
        <v>100</v>
      </c>
      <c r="V30" s="518" t="s">
        <v>17</v>
      </c>
      <c r="W30" s="519">
        <f t="shared" si="12"/>
        <v>100</v>
      </c>
      <c r="X30" s="1161"/>
      <c r="Y30" s="3835"/>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35"/>
      <c r="Q31" s="1158">
        <f t="shared" si="8"/>
        <v>111</v>
      </c>
      <c r="R31" s="518" t="s">
        <v>17</v>
      </c>
      <c r="S31" s="519">
        <f t="shared" si="10"/>
        <v>100</v>
      </c>
      <c r="T31" s="518" t="s">
        <v>17</v>
      </c>
      <c r="U31" s="519">
        <f t="shared" si="11"/>
        <v>100</v>
      </c>
      <c r="V31" s="518" t="s">
        <v>17</v>
      </c>
      <c r="W31" s="519">
        <f t="shared" si="12"/>
        <v>100</v>
      </c>
      <c r="X31" s="1161"/>
      <c r="Y31" s="3835"/>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36" t="s">
        <v>2143</v>
      </c>
      <c r="Q32" s="1158">
        <f t="shared" si="8"/>
        <v>111</v>
      </c>
      <c r="R32" s="518" t="s">
        <v>17</v>
      </c>
      <c r="S32" s="519">
        <f t="shared" si="10"/>
        <v>100</v>
      </c>
      <c r="T32" s="518" t="s">
        <v>17</v>
      </c>
      <c r="U32" s="519">
        <f t="shared" si="11"/>
        <v>100</v>
      </c>
      <c r="V32" s="518" t="s">
        <v>17</v>
      </c>
      <c r="W32" s="519">
        <f t="shared" si="12"/>
        <v>100</v>
      </c>
      <c r="X32" s="1161"/>
      <c r="Y32" s="3837" t="s">
        <v>2143</v>
      </c>
      <c r="Z32" s="1162">
        <f t="shared" si="13"/>
        <v>111</v>
      </c>
      <c r="AA32" s="1159">
        <f t="shared" si="3"/>
        <v>1</v>
      </c>
      <c r="AB32" s="1159">
        <f t="shared" si="4"/>
        <v>1</v>
      </c>
      <c r="AC32" s="1159">
        <f t="shared" si="5"/>
        <v>1</v>
      </c>
    </row>
    <row r="33" spans="1:31" s="282" customFormat="1" ht="15.6"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37"/>
      <c r="Q33" s="1158">
        <f t="shared" si="8"/>
        <v>111</v>
      </c>
      <c r="R33" s="521" t="s">
        <v>17</v>
      </c>
      <c r="S33" s="522">
        <f t="shared" si="10"/>
        <v>100</v>
      </c>
      <c r="T33" s="521" t="s">
        <v>17</v>
      </c>
      <c r="U33" s="522">
        <f t="shared" si="11"/>
        <v>100</v>
      </c>
      <c r="V33" s="521" t="s">
        <v>17</v>
      </c>
      <c r="W33" s="522">
        <f t="shared" si="12"/>
        <v>100</v>
      </c>
      <c r="X33" s="523"/>
      <c r="Y33" s="3837"/>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37"/>
      <c r="Q34" s="1158" t="str">
        <f>B34</f>
        <v>宗地面积</v>
      </c>
      <c r="R34" s="518" t="s">
        <v>17</v>
      </c>
      <c r="S34" s="519" t="e">
        <f t="shared" si="10"/>
        <v>#N/A</v>
      </c>
      <c r="T34" s="518" t="s">
        <v>17</v>
      </c>
      <c r="U34" s="519" t="e">
        <f t="shared" si="11"/>
        <v>#N/A</v>
      </c>
      <c r="V34" s="518" t="s">
        <v>17</v>
      </c>
      <c r="W34" s="519" t="e">
        <f t="shared" si="12"/>
        <v>#N/A</v>
      </c>
      <c r="X34" s="1161"/>
      <c r="Y34" s="3837"/>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37"/>
      <c r="Q35" s="1158" t="str">
        <f t="shared" ref="Q35:Q40" si="14">B35</f>
        <v>宗地形状</v>
      </c>
      <c r="R35" s="518" t="s">
        <v>17</v>
      </c>
      <c r="S35" s="519">
        <f t="shared" si="10"/>
        <v>100</v>
      </c>
      <c r="T35" s="518" t="s">
        <v>17</v>
      </c>
      <c r="U35" s="519">
        <f t="shared" si="11"/>
        <v>100</v>
      </c>
      <c r="V35" s="518" t="s">
        <v>17</v>
      </c>
      <c r="W35" s="519">
        <f t="shared" si="12"/>
        <v>100</v>
      </c>
      <c r="X35" s="1161"/>
      <c r="Y35" s="3837"/>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37"/>
      <c r="Q36" s="1158" t="str">
        <f t="shared" si="14"/>
        <v>宗地开发程度</v>
      </c>
      <c r="R36" s="514" t="s">
        <v>17</v>
      </c>
      <c r="S36" s="515">
        <f t="shared" si="10"/>
        <v>100</v>
      </c>
      <c r="T36" s="514" t="s">
        <v>17</v>
      </c>
      <c r="U36" s="515">
        <f t="shared" si="11"/>
        <v>100</v>
      </c>
      <c r="V36" s="514" t="s">
        <v>17</v>
      </c>
      <c r="W36" s="515">
        <f t="shared" si="12"/>
        <v>100</v>
      </c>
      <c r="X36" s="516"/>
      <c r="Y36" s="3837"/>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37" t="s">
        <v>2143</v>
      </c>
      <c r="Q37" s="1158" t="str">
        <f t="shared" si="14"/>
        <v>工程地质条件</v>
      </c>
      <c r="R37" s="518" t="s">
        <v>17</v>
      </c>
      <c r="S37" s="519">
        <f t="shared" si="10"/>
        <v>100</v>
      </c>
      <c r="T37" s="518" t="s">
        <v>17</v>
      </c>
      <c r="U37" s="519">
        <f t="shared" si="11"/>
        <v>100</v>
      </c>
      <c r="V37" s="518" t="s">
        <v>17</v>
      </c>
      <c r="W37" s="519">
        <f t="shared" si="12"/>
        <v>100</v>
      </c>
      <c r="X37" s="1161"/>
      <c r="Y37" s="3837"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37"/>
      <c r="Q38" s="1158">
        <f t="shared" si="14"/>
        <v>111</v>
      </c>
      <c r="R38" s="518" t="s">
        <v>17</v>
      </c>
      <c r="S38" s="519">
        <f t="shared" si="10"/>
        <v>100</v>
      </c>
      <c r="T38" s="518" t="s">
        <v>17</v>
      </c>
      <c r="U38" s="519">
        <f t="shared" si="11"/>
        <v>100</v>
      </c>
      <c r="V38" s="518" t="s">
        <v>17</v>
      </c>
      <c r="W38" s="519">
        <f t="shared" si="12"/>
        <v>100</v>
      </c>
      <c r="X38" s="1161"/>
      <c r="Y38" s="3837"/>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37"/>
      <c r="Q39" s="1158">
        <f t="shared" si="14"/>
        <v>111</v>
      </c>
      <c r="R39" s="518" t="s">
        <v>17</v>
      </c>
      <c r="S39" s="519">
        <f t="shared" si="10"/>
        <v>100</v>
      </c>
      <c r="T39" s="518" t="s">
        <v>17</v>
      </c>
      <c r="U39" s="519">
        <f t="shared" si="11"/>
        <v>100</v>
      </c>
      <c r="V39" s="518" t="s">
        <v>17</v>
      </c>
      <c r="W39" s="519">
        <f t="shared" si="12"/>
        <v>100</v>
      </c>
      <c r="X39" s="1161"/>
      <c r="Y39" s="3837"/>
      <c r="Z39" s="1162">
        <f t="shared" si="13"/>
        <v>111</v>
      </c>
      <c r="AA39" s="1159">
        <f t="shared" si="3"/>
        <v>1</v>
      </c>
      <c r="AB39" s="1159">
        <f t="shared" si="4"/>
        <v>1</v>
      </c>
      <c r="AC39" s="1159">
        <f t="shared" si="5"/>
        <v>1</v>
      </c>
    </row>
    <row r="40" spans="1:31" s="282" customFormat="1" ht="15.6"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37"/>
      <c r="Q40" s="1158">
        <f t="shared" si="14"/>
        <v>111</v>
      </c>
      <c r="R40" s="521" t="s">
        <v>17</v>
      </c>
      <c r="S40" s="522">
        <f t="shared" si="10"/>
        <v>100</v>
      </c>
      <c r="T40" s="521" t="s">
        <v>17</v>
      </c>
      <c r="U40" s="522">
        <f t="shared" si="11"/>
        <v>100</v>
      </c>
      <c r="V40" s="521" t="s">
        <v>17</v>
      </c>
      <c r="W40" s="522">
        <f t="shared" si="12"/>
        <v>100</v>
      </c>
      <c r="X40" s="523"/>
      <c r="Y40" s="3837"/>
      <c r="Z40" s="524">
        <f t="shared" si="13"/>
        <v>111</v>
      </c>
      <c r="AA40" s="1159">
        <f t="shared" si="3"/>
        <v>1</v>
      </c>
      <c r="AB40" s="1159">
        <f t="shared" si="4"/>
        <v>1</v>
      </c>
      <c r="AC40" s="1159">
        <f t="shared" si="5"/>
        <v>1</v>
      </c>
    </row>
    <row r="41" spans="1:31" ht="14.4">
      <c r="A41" s="288" t="s">
        <v>2298</v>
      </c>
      <c r="B41" s="1524" t="s">
        <v>2377</v>
      </c>
      <c r="C41" s="454" t="s">
        <v>1</v>
      </c>
      <c r="D41" s="290"/>
      <c r="E41" s="291"/>
      <c r="F41" s="292"/>
      <c r="G41" s="293"/>
      <c r="H41" s="294"/>
      <c r="I41" s="291"/>
      <c r="J41" s="294"/>
      <c r="K41" s="527"/>
      <c r="L41" s="2110"/>
      <c r="M41" s="2102"/>
      <c r="N41" s="2102"/>
      <c r="O41" s="2111"/>
      <c r="P41" s="3818" t="str">
        <f>A41</f>
        <v>成交单价</v>
      </c>
      <c r="Q41" s="3818"/>
      <c r="R41" s="3832">
        <f>E41</f>
        <v>0</v>
      </c>
      <c r="S41" s="3832"/>
      <c r="T41" s="3832">
        <f>G41</f>
        <v>0</v>
      </c>
      <c r="U41" s="3832"/>
      <c r="V41" s="3832">
        <f>I41</f>
        <v>0</v>
      </c>
      <c r="W41" s="3832"/>
      <c r="X41" s="503"/>
      <c r="Y41" s="525"/>
      <c r="Z41" s="503"/>
      <c r="AA41" s="503"/>
      <c r="AB41" s="503"/>
      <c r="AC41" s="503"/>
    </row>
    <row r="42" spans="1:31" ht="1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18" t="str">
        <f>A42</f>
        <v>比较价值（元/平方米）</v>
      </c>
      <c r="Q42" s="3818"/>
      <c r="R42" s="3839" t="e">
        <f>ROUND(PRODUCT(R41,AA7:AA40),0)</f>
        <v>#DIV/0!</v>
      </c>
      <c r="S42" s="3839"/>
      <c r="T42" s="3839" t="e">
        <f>ROUND(PRODUCT(T41,AB7:AB40),0)</f>
        <v>#DIV/0!</v>
      </c>
      <c r="U42" s="3839"/>
      <c r="V42" s="3839" t="e">
        <f>ROUND(PRODUCT(V41,AC7:AC40),0)</f>
        <v>#DIV/0!</v>
      </c>
      <c r="W42" s="3839"/>
      <c r="X42" s="503"/>
      <c r="Y42" s="503"/>
      <c r="Z42" s="503"/>
      <c r="AA42" s="503"/>
      <c r="AB42" s="503"/>
      <c r="AC42" s="503"/>
    </row>
    <row r="43" spans="1:31" ht="15" thickBot="1">
      <c r="A43" s="299" t="s">
        <v>2248</v>
      </c>
      <c r="B43" s="300"/>
      <c r="C43" s="301" t="e">
        <f>R43</f>
        <v>#DIV/0!</v>
      </c>
      <c r="D43" s="301"/>
      <c r="E43" s="301"/>
      <c r="F43" s="301"/>
      <c r="G43" s="301"/>
      <c r="H43" s="301"/>
      <c r="I43" s="301"/>
      <c r="J43" s="301"/>
      <c r="K43" s="528"/>
      <c r="L43" s="2110"/>
      <c r="M43" s="2102"/>
      <c r="N43" s="2102"/>
      <c r="O43" s="2111"/>
      <c r="P43" s="3840" t="str">
        <f>A43</f>
        <v>估价对象XX用房的比较价值（楼面单价，元/平方米）</v>
      </c>
      <c r="Q43" s="3841"/>
      <c r="R43" s="3842" t="e">
        <f>ROUND(IF(D42="简单平均",AVERAGE(R42:W42),R42*F42+T42*H42+V42*J42),0)</f>
        <v>#DIV/0!</v>
      </c>
      <c r="S43" s="3842"/>
      <c r="T43" s="3842"/>
      <c r="U43" s="3842"/>
      <c r="V43" s="3842"/>
      <c r="W43" s="3842"/>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4.4"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8.8">
      <c r="A50" s="456" t="s">
        <v>2336</v>
      </c>
      <c r="B50" s="457" t="s">
        <v>2337</v>
      </c>
      <c r="C50" s="1525" t="s">
        <v>2338</v>
      </c>
      <c r="D50" s="1526" t="s">
        <v>2339</v>
      </c>
      <c r="E50" s="458" t="s">
        <v>2340</v>
      </c>
      <c r="F50" s="459" t="s">
        <v>2341</v>
      </c>
      <c r="G50" s="3915" t="s">
        <v>2342</v>
      </c>
      <c r="H50" s="3958"/>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73162.550000000017</v>
      </c>
      <c r="F51" s="463" t="e">
        <f t="shared" ref="F51:F60" si="15">ROUND(B51*E51/10000,0)</f>
        <v>#DIV/0!</v>
      </c>
      <c r="G51" s="3914"/>
      <c r="H51" s="3818"/>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4.4"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4.4" thickBot="1">
      <c r="A61" s="467" t="s">
        <v>2358</v>
      </c>
      <c r="B61" s="468" t="s">
        <v>28</v>
      </c>
      <c r="C61" s="468" t="s">
        <v>29</v>
      </c>
      <c r="D61" s="468" t="s">
        <v>816</v>
      </c>
      <c r="E61" s="468">
        <f>IF(B41="楼面地价",SUM(E51:E60),'数据-汇总表'!D3)</f>
        <v>52221.18</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2.2"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4.4">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4.4">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4.4"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ht="14.4">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4.4"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9.4"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4.4"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4.4"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4.4"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4.4"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4.4"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4.4"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4.4"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4.4"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ht="14.4">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4.4"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4.4"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29.4"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4.4"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9.4"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4.4"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4.4"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4.4"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4.4"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9.4"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4.4"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4.4"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4.4"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4.4"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4.4"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4.4"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4.4"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4.4"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ht="14.4">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4.4"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4.4"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4.4"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4.4"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4.4"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4.4"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4.4"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4.4"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4.4"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4.4"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1605" customWidth="1"/>
    <col min="2" max="2" width="19.21875" style="1708" customWidth="1"/>
    <col min="3" max="4" width="12" style="1539"/>
    <col min="5" max="5" width="14.6640625" style="1539" customWidth="1"/>
    <col min="6" max="8" width="12" style="1539"/>
    <col min="9" max="9" width="12.21875" style="1539" bestFit="1" customWidth="1"/>
    <col min="10" max="10" width="12" style="1539"/>
    <col min="11" max="11" width="8.109375" style="1600" customWidth="1"/>
    <col min="12" max="12" width="12" style="1539"/>
    <col min="13" max="13" width="8.44140625" style="1539" customWidth="1"/>
    <col min="14" max="14" width="9.77734375" style="1539" customWidth="1"/>
    <col min="15" max="25" width="12" style="1539"/>
    <col min="26" max="26" width="9.33203125" style="1605" customWidth="1"/>
    <col min="27" max="32" width="9.33203125" style="945" customWidth="1"/>
    <col min="33" max="36" width="9.33203125" style="1605" customWidth="1"/>
    <col min="37" max="38" width="9.33203125" style="1539" customWidth="1"/>
    <col min="39" max="16384" width="12" style="1539"/>
  </cols>
  <sheetData>
    <row r="1" spans="1:36" ht="31.2">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6">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6">
      <c r="A3" s="75" t="s">
        <v>2395</v>
      </c>
      <c r="B3" s="76" t="e">
        <f>ROUND(B2*10000/D1,0)</f>
        <v>#DIV/0!</v>
      </c>
      <c r="C3" s="1540" t="s">
        <v>2396</v>
      </c>
      <c r="D3" s="1541" t="s">
        <v>2397</v>
      </c>
      <c r="E3" s="1546"/>
      <c r="F3" s="1547" t="s">
        <v>2398</v>
      </c>
      <c r="G3" s="626">
        <f>IF(F3="宗地容积率",'数据-汇总表'!I4,IF(F3="估价对象容积率",'数据-汇总表'!I6,'数据-汇总表'!I7))</f>
        <v>1.41</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6">
      <c r="A4" s="3982"/>
      <c r="B4" s="3983"/>
      <c r="C4" s="3983"/>
      <c r="D4" s="3984"/>
      <c r="E4" s="3984"/>
      <c r="F4" s="3984"/>
      <c r="G4" s="3984"/>
      <c r="H4" s="3984"/>
      <c r="I4" s="3984"/>
      <c r="J4" s="3985"/>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6"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6"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63"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1.41</v>
      </c>
      <c r="AA7" s="1014"/>
      <c r="AB7" s="1014"/>
      <c r="AC7" s="1015"/>
      <c r="AD7" s="1016"/>
      <c r="AE7" s="1016"/>
      <c r="AF7" s="1016"/>
      <c r="AG7" s="1016"/>
      <c r="AH7" s="1016"/>
      <c r="AI7" s="1016"/>
      <c r="AJ7" s="1017"/>
    </row>
    <row r="8" spans="1:36" ht="15">
      <c r="A8" s="3986"/>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79" t="s">
        <v>2417</v>
      </c>
      <c r="X8" s="3980"/>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86"/>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81"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86"/>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81"/>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6" thickBot="1">
      <c r="A11" s="3986"/>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81" t="s">
        <v>2441</v>
      </c>
      <c r="X11" s="1022" t="s">
        <v>2442</v>
      </c>
      <c r="Y11" s="1023">
        <f>$G$3</f>
        <v>1.41</v>
      </c>
      <c r="Z11" s="1023">
        <f t="shared" ref="Z11:AJ11" si="3">$G$3</f>
        <v>1.41</v>
      </c>
      <c r="AA11" s="1023">
        <f t="shared" si="3"/>
        <v>1.41</v>
      </c>
      <c r="AB11" s="1023">
        <f t="shared" si="3"/>
        <v>1.41</v>
      </c>
      <c r="AC11" s="1023">
        <f t="shared" si="3"/>
        <v>1.41</v>
      </c>
      <c r="AD11" s="1023">
        <f t="shared" si="3"/>
        <v>1.41</v>
      </c>
      <c r="AE11" s="1023">
        <f t="shared" si="3"/>
        <v>1.41</v>
      </c>
      <c r="AF11" s="1023">
        <f t="shared" si="3"/>
        <v>1.41</v>
      </c>
      <c r="AG11" s="1023">
        <f t="shared" si="3"/>
        <v>1.41</v>
      </c>
      <c r="AH11" s="1023">
        <f t="shared" si="3"/>
        <v>1.41</v>
      </c>
      <c r="AI11" s="1023">
        <f t="shared" si="3"/>
        <v>1.41</v>
      </c>
      <c r="AJ11" s="1023">
        <f t="shared" si="3"/>
        <v>1.41</v>
      </c>
    </row>
    <row r="12" spans="1:36" ht="25.8" thickBot="1">
      <c r="A12" s="3963"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81"/>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87"/>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81"/>
      <c r="X13" s="1024"/>
      <c r="Y13" s="1021">
        <f>(-0.163*(Y12^2)-0.59*Y12+7617)*(10^(-4))/Y11</f>
        <v>0.54021276595744683</v>
      </c>
      <c r="Z13" s="1021">
        <f t="shared" ref="Z13:AJ13" si="5">(-0.163*(Z12^2)-0.59*Z12+7617)*(10^(-4))/Z11</f>
        <v>0.54021276595744683</v>
      </c>
      <c r="AA13" s="1021">
        <f t="shared" si="5"/>
        <v>0.54021276595744683</v>
      </c>
      <c r="AB13" s="1021">
        <f t="shared" si="5"/>
        <v>0.54021276595744683</v>
      </c>
      <c r="AC13" s="1021">
        <f t="shared" si="5"/>
        <v>0.54021276595744683</v>
      </c>
      <c r="AD13" s="1021">
        <f t="shared" si="5"/>
        <v>0.54021276595744683</v>
      </c>
      <c r="AE13" s="1021">
        <f t="shared" si="5"/>
        <v>0.54021276595744683</v>
      </c>
      <c r="AF13" s="1021">
        <f t="shared" si="5"/>
        <v>0.54021276595744683</v>
      </c>
      <c r="AG13" s="1021">
        <f t="shared" si="5"/>
        <v>0.54021276595744683</v>
      </c>
      <c r="AH13" s="1021">
        <f t="shared" si="5"/>
        <v>0.54021276595744683</v>
      </c>
      <c r="AI13" s="1021">
        <f t="shared" si="5"/>
        <v>0.54021276595744683</v>
      </c>
      <c r="AJ13" s="1021">
        <f t="shared" si="5"/>
        <v>0.54021276595744683</v>
      </c>
    </row>
    <row r="14" spans="1:36" ht="15">
      <c r="A14" s="3987"/>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6" thickBot="1">
      <c r="A15" s="3988"/>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63" t="s">
        <v>2460</v>
      </c>
      <c r="B16" s="1564" t="s">
        <v>2461</v>
      </c>
      <c r="C16" s="1726" t="e">
        <f>ROUND(IF(F17="与级别开发程度一致",0,(G17-E17)/C17),0)</f>
        <v>#DIV/0!</v>
      </c>
      <c r="D16" s="3976" t="s">
        <v>2465</v>
      </c>
      <c r="E16" s="3977"/>
      <c r="F16" s="3976" t="s">
        <v>2462</v>
      </c>
      <c r="G16" s="3977"/>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8" thickBot="1">
      <c r="A17" s="3964"/>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9.4"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9.4"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4.4">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4">
      <c r="A22" s="1501" t="s">
        <v>2482</v>
      </c>
      <c r="B22" s="1623" t="s">
        <v>2483</v>
      </c>
      <c r="C22" s="1158" t="s">
        <v>2484</v>
      </c>
      <c r="D22" s="1158">
        <f>IF(E22=G22,F22,IF(G3&lt;=10,ROUND(F22+(H22-F22)*(G3-E22)/(G22-E22),4),"——"))</f>
        <v>9.06E-2</v>
      </c>
      <c r="E22" s="626">
        <f>ROUNDDOWN(G3,1)</f>
        <v>1.4</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1.5</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9.4"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4.4">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8"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3.8">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36">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73"/>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78"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3.8">
      <c r="A34" s="3974"/>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74"/>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74"/>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74"/>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8" thickBot="1">
      <c r="A36" s="3975"/>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75"/>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8"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ht="24">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4.4">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5.2">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5.2">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105.6">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50.4">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36">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98">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6.4">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79.8"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4.4">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5.2">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105.6">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50.4">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36">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98">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6.4">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79.8"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4.4">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5.2">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118.8">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105.6">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3.8">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98">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6.4">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36">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79.2">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36.6"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4.4">
      <c r="A79" s="1680" t="s">
        <v>2544</v>
      </c>
      <c r="B79" s="1681">
        <f>1+E81</f>
        <v>1</v>
      </c>
      <c r="C79" s="542"/>
      <c r="D79" s="542"/>
      <c r="E79" s="543"/>
      <c r="F79" s="1683"/>
      <c r="G79" s="6"/>
      <c r="H79" s="6"/>
      <c r="I79" s="6"/>
      <c r="J79" s="7"/>
      <c r="K79" s="7"/>
      <c r="L79" s="7"/>
      <c r="M79" s="7"/>
      <c r="N79" s="7"/>
      <c r="Z79" s="1539"/>
      <c r="AA79" s="1605"/>
      <c r="AG79" s="945"/>
      <c r="AK79" s="1605"/>
    </row>
    <row r="80" spans="1:37" ht="25.2">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9.6">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66">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3.8">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6.4">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6.4">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36">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53.4"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65" t="s">
        <v>2548</v>
      </c>
      <c r="B90" s="3965"/>
      <c r="C90" s="3965"/>
      <c r="D90" s="3965"/>
      <c r="E90" s="3965"/>
      <c r="F90" s="3965"/>
      <c r="G90" s="3965"/>
      <c r="H90" s="3965"/>
      <c r="I90" s="3965"/>
      <c r="J90" s="3965"/>
      <c r="K90" s="1698"/>
      <c r="L90" s="1698"/>
      <c r="M90" s="1698"/>
      <c r="N90" s="1698"/>
    </row>
    <row r="91" spans="1:37">
      <c r="A91" s="3967" t="s">
        <v>2549</v>
      </c>
      <c r="B91" s="3967" t="s">
        <v>2550</v>
      </c>
      <c r="C91" s="1652" t="s">
        <v>2551</v>
      </c>
      <c r="D91" s="1653"/>
      <c r="E91" s="1653"/>
      <c r="F91" s="1653"/>
      <c r="G91" s="1653"/>
      <c r="H91" s="1653"/>
      <c r="I91" s="1653"/>
      <c r="J91" s="1699"/>
      <c r="K91" s="1700"/>
      <c r="L91" s="1700"/>
      <c r="M91" s="1700"/>
      <c r="N91" s="1700"/>
    </row>
    <row r="92" spans="1:37">
      <c r="A92" s="3967"/>
      <c r="B92" s="3967"/>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68"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69"/>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69"/>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69"/>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69"/>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69"/>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69"/>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70"/>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68" t="s">
        <v>2553</v>
      </c>
      <c r="B101" s="1705" t="s">
        <v>2554</v>
      </c>
      <c r="C101" s="1706">
        <f>$G$3</f>
        <v>1.41</v>
      </c>
      <c r="D101" s="1706">
        <f t="shared" ref="D101:N101" si="31">$G$3</f>
        <v>1.41</v>
      </c>
      <c r="E101" s="1706">
        <f t="shared" si="31"/>
        <v>1.41</v>
      </c>
      <c r="F101" s="1706">
        <f t="shared" si="31"/>
        <v>1.41</v>
      </c>
      <c r="G101" s="1706">
        <f t="shared" si="31"/>
        <v>1.41</v>
      </c>
      <c r="H101" s="1706">
        <f t="shared" si="31"/>
        <v>1.41</v>
      </c>
      <c r="I101" s="1706">
        <f t="shared" si="31"/>
        <v>1.41</v>
      </c>
      <c r="J101" s="1706">
        <f t="shared" si="31"/>
        <v>1.41</v>
      </c>
      <c r="K101" s="1706">
        <f t="shared" si="31"/>
        <v>1.41</v>
      </c>
      <c r="L101" s="1706">
        <f t="shared" si="31"/>
        <v>1.41</v>
      </c>
      <c r="M101" s="1706">
        <f t="shared" si="31"/>
        <v>1.41</v>
      </c>
      <c r="N101" s="1706">
        <f t="shared" si="31"/>
        <v>1.41</v>
      </c>
    </row>
    <row r="102" spans="1:14">
      <c r="A102" s="3969"/>
      <c r="B102" s="1701">
        <v>1</v>
      </c>
      <c r="C102" s="1702">
        <f>1.9362/C101</f>
        <v>1.3731914893617021</v>
      </c>
      <c r="D102" s="1702">
        <f>1.9362/D101</f>
        <v>1.3731914893617021</v>
      </c>
      <c r="E102" s="1702">
        <f>1.8629/E101</f>
        <v>1.3212056737588653</v>
      </c>
      <c r="F102" s="1702">
        <f>1.8629/F101</f>
        <v>1.3212056737588653</v>
      </c>
      <c r="G102" s="1702">
        <f>1.8629/G101</f>
        <v>1.3212056737588653</v>
      </c>
      <c r="H102" s="1702">
        <f>1.8629/H101</f>
        <v>1.3212056737588653</v>
      </c>
      <c r="I102" s="1702">
        <f>1.8629/I101</f>
        <v>1.3212056737588653</v>
      </c>
      <c r="J102" s="1702">
        <f>1.942/J101</f>
        <v>1.3773049645390072</v>
      </c>
      <c r="K102" s="1702">
        <f>1.942/K101</f>
        <v>1.3773049645390072</v>
      </c>
      <c r="L102" s="1702">
        <f>1.942/L101</f>
        <v>1.3773049645390072</v>
      </c>
      <c r="M102" s="1702">
        <f>1.942/M101</f>
        <v>1.3773049645390072</v>
      </c>
      <c r="N102" s="1702">
        <f>1.942/N101</f>
        <v>1.3773049645390072</v>
      </c>
    </row>
    <row r="103" spans="1:14">
      <c r="A103" s="3969"/>
      <c r="B103" s="1701">
        <v>2</v>
      </c>
      <c r="C103" s="1702">
        <f>1.4198/C101</f>
        <v>1.0069503546099292</v>
      </c>
      <c r="D103" s="1702">
        <f>1.4198/D101</f>
        <v>1.0069503546099292</v>
      </c>
      <c r="E103" s="1702">
        <f>1.3372/E101</f>
        <v>0.9483687943262411</v>
      </c>
      <c r="F103" s="1702">
        <f>1.3372/F101</f>
        <v>0.9483687943262411</v>
      </c>
      <c r="G103" s="1702">
        <f>1.3372/G101</f>
        <v>0.9483687943262411</v>
      </c>
      <c r="H103" s="1702">
        <f>1.3372/H101</f>
        <v>0.9483687943262411</v>
      </c>
      <c r="I103" s="1702">
        <f>1.3372/I101</f>
        <v>0.9483687943262411</v>
      </c>
      <c r="J103" s="1702">
        <f>1.2799/J101</f>
        <v>0.9077304964539008</v>
      </c>
      <c r="K103" s="1702">
        <f>1.2799/K101</f>
        <v>0.9077304964539008</v>
      </c>
      <c r="L103" s="1702">
        <f>1.2799/L101</f>
        <v>0.9077304964539008</v>
      </c>
      <c r="M103" s="1702">
        <f>1.2799/M101</f>
        <v>0.9077304964539008</v>
      </c>
      <c r="N103" s="1702">
        <f>1.2799/N101</f>
        <v>0.9077304964539008</v>
      </c>
    </row>
    <row r="104" spans="1:14">
      <c r="A104" s="3969"/>
      <c r="B104" s="1701">
        <v>3</v>
      </c>
      <c r="C104" s="1702">
        <f>1.1594/C101</f>
        <v>0.82226950354609929</v>
      </c>
      <c r="D104" s="1702">
        <f>1.1594/D101</f>
        <v>0.82226950354609929</v>
      </c>
      <c r="E104" s="1702">
        <f>1.0788/E101</f>
        <v>0.76510638297872346</v>
      </c>
      <c r="F104" s="1702">
        <f>1.0788/F101</f>
        <v>0.76510638297872346</v>
      </c>
      <c r="G104" s="1702">
        <f>1.0788/G101</f>
        <v>0.76510638297872346</v>
      </c>
      <c r="H104" s="1702">
        <f>1.0788/H101</f>
        <v>0.76510638297872346</v>
      </c>
      <c r="I104" s="1702">
        <f>1.0788/I101</f>
        <v>0.76510638297872346</v>
      </c>
      <c r="J104" s="1702">
        <f>1.0072/J101</f>
        <v>0.71432624113475185</v>
      </c>
      <c r="K104" s="1702">
        <f>1.0072/K101</f>
        <v>0.71432624113475185</v>
      </c>
      <c r="L104" s="1702">
        <f>1.0072/L101</f>
        <v>0.71432624113475185</v>
      </c>
      <c r="M104" s="1702">
        <f>1.0072/M101</f>
        <v>0.71432624113475185</v>
      </c>
      <c r="N104" s="1702">
        <f>1.0072/N101</f>
        <v>0.71432624113475185</v>
      </c>
    </row>
    <row r="105" spans="1:14">
      <c r="A105" s="3969"/>
      <c r="B105" s="1701">
        <v>4</v>
      </c>
      <c r="C105" s="1702">
        <f>0.9622/C101</f>
        <v>0.68241134751773058</v>
      </c>
      <c r="D105" s="1702">
        <f>0.9622/D101</f>
        <v>0.68241134751773058</v>
      </c>
      <c r="E105" s="1702">
        <f>0.8656/E101</f>
        <v>0.61390070921985818</v>
      </c>
      <c r="F105" s="1702">
        <f>0.8656/F101</f>
        <v>0.61390070921985818</v>
      </c>
      <c r="G105" s="1702">
        <f>0.8656/G101</f>
        <v>0.61390070921985818</v>
      </c>
      <c r="H105" s="1702">
        <f>0.8656/H101</f>
        <v>0.61390070921985818</v>
      </c>
      <c r="I105" s="1702">
        <f>0.8656/I101</f>
        <v>0.61390070921985818</v>
      </c>
      <c r="J105" s="1702">
        <f>0.7525/J101</f>
        <v>0.53368794326241131</v>
      </c>
      <c r="K105" s="1702">
        <f>0.7525/K101</f>
        <v>0.53368794326241131</v>
      </c>
      <c r="L105" s="1702">
        <f>0.7525/L101</f>
        <v>0.53368794326241131</v>
      </c>
      <c r="M105" s="1702">
        <f>0.7525/M101</f>
        <v>0.53368794326241131</v>
      </c>
      <c r="N105" s="1702">
        <f>0.7525/N101</f>
        <v>0.53368794326241131</v>
      </c>
    </row>
    <row r="106" spans="1:14">
      <c r="A106" s="3969"/>
      <c r="B106" s="1701">
        <v>5</v>
      </c>
      <c r="C106" s="1702">
        <f>0.8417/C101</f>
        <v>0.59695035460992907</v>
      </c>
      <c r="D106" s="1702">
        <f>0.8417/D101</f>
        <v>0.59695035460992907</v>
      </c>
      <c r="E106" s="1702">
        <f>0.7371/E101</f>
        <v>0.52276595744680854</v>
      </c>
      <c r="F106" s="1702">
        <f>0.7371/F101</f>
        <v>0.52276595744680854</v>
      </c>
      <c r="G106" s="1702">
        <f>0.7371/G101</f>
        <v>0.52276595744680854</v>
      </c>
      <c r="H106" s="1702">
        <f>0.7371/H101</f>
        <v>0.52276595744680854</v>
      </c>
      <c r="I106" s="1702">
        <f>0.7371/I101</f>
        <v>0.52276595744680854</v>
      </c>
      <c r="J106" s="1702">
        <f>0.5659/J101</f>
        <v>0.40134751773049643</v>
      </c>
      <c r="K106" s="1702">
        <f>0.5659/K101</f>
        <v>0.40134751773049643</v>
      </c>
      <c r="L106" s="1702">
        <f>0.5659/L101</f>
        <v>0.40134751773049643</v>
      </c>
      <c r="M106" s="1702">
        <f>0.5659/M101</f>
        <v>0.40134751773049643</v>
      </c>
      <c r="N106" s="1702">
        <f>0.5659/N101</f>
        <v>0.40134751773049643</v>
      </c>
    </row>
    <row r="107" spans="1:14">
      <c r="A107" s="3969"/>
      <c r="B107" s="1701">
        <v>6</v>
      </c>
      <c r="C107" s="1702">
        <f>0.7608/C101</f>
        <v>0.53957446808510645</v>
      </c>
      <c r="D107" s="1702">
        <f>0.7608/D101</f>
        <v>0.53957446808510645</v>
      </c>
      <c r="E107" s="1702">
        <f>0.6482/E101</f>
        <v>0.45971631205673763</v>
      </c>
      <c r="F107" s="1702">
        <f>0.6482/F101</f>
        <v>0.45971631205673763</v>
      </c>
      <c r="G107" s="1702">
        <f>0.6482/G101</f>
        <v>0.45971631205673763</v>
      </c>
      <c r="H107" s="1702">
        <f>0.6482/H101</f>
        <v>0.45971631205673763</v>
      </c>
      <c r="I107" s="1702">
        <f>0.6482/I101</f>
        <v>0.45971631205673763</v>
      </c>
      <c r="J107" s="1702">
        <f>0.4525/J101</f>
        <v>0.32092198581560288</v>
      </c>
      <c r="K107" s="1702">
        <f>0.4525/K101</f>
        <v>0.32092198581560288</v>
      </c>
      <c r="L107" s="1702">
        <f>0.4525/L101</f>
        <v>0.32092198581560288</v>
      </c>
      <c r="M107" s="1702">
        <f>0.4525/M101</f>
        <v>0.32092198581560288</v>
      </c>
      <c r="N107" s="1702">
        <f>0.4525/N101</f>
        <v>0.32092198581560288</v>
      </c>
    </row>
    <row r="108" spans="1:14">
      <c r="A108" s="3969"/>
      <c r="B108" s="3971"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70"/>
      <c r="B109" s="3972"/>
      <c r="C109" s="1704">
        <f>(-0.163*(C108^2)-0.59*C108+7617)*(10^(-4))/C101</f>
        <v>0.54021276595744683</v>
      </c>
      <c r="D109" s="1704">
        <f>(-0.163*(D108^2)-0.59*D108+7617)*(10^(-4))/D101</f>
        <v>0.54021276595744683</v>
      </c>
      <c r="E109" s="1704">
        <f>(-0.161*(E108^2)-7.509*E108+6533)*(10^(-4))/E101</f>
        <v>0.46333333333333337</v>
      </c>
      <c r="F109" s="1704">
        <f>(-0.161*(F108^2)-7.509*F108+6533)*(10^(-4))/F101</f>
        <v>0.46333333333333337</v>
      </c>
      <c r="G109" s="1704">
        <f>(-0.161*(G108^2)-7.509*G108+6533)*(10^(-4))/G101</f>
        <v>0.46333333333333337</v>
      </c>
      <c r="H109" s="1704">
        <f>(-0.161*(H108^2)-7.509*H108+6533)*(10^(-4))/H101</f>
        <v>0.46333333333333337</v>
      </c>
      <c r="I109" s="1704">
        <f>(-0.161*(I108^2)-7.509*I108+6533)*(10^(-4))/I101</f>
        <v>0.46333333333333337</v>
      </c>
      <c r="J109" s="1704">
        <f>(-0.214*(J108^2)-21.991*J108+4665)*(10^(-4))/J101</f>
        <v>0.3308510638297873</v>
      </c>
      <c r="K109" s="1704">
        <f>(-0.214*(K108^2)-21.991*K108+4665)*(10^(-4))/K101</f>
        <v>0.3308510638297873</v>
      </c>
      <c r="L109" s="1704">
        <f>(-0.214*(L108^2)-21.991*L108+4665)*(10^(-4))/L101</f>
        <v>0.3308510638297873</v>
      </c>
      <c r="M109" s="1704">
        <f>(-0.214*(M108^2)-21.991*M108+4665)*(10^(-4))/M101</f>
        <v>0.3308510638297873</v>
      </c>
      <c r="N109" s="1704">
        <f>(-0.214*(N108^2)-21.991*N108+4665)*(10^(-4))/N101</f>
        <v>0.3308510638297873</v>
      </c>
    </row>
    <row r="110" spans="1:14">
      <c r="A110" s="3966" t="s">
        <v>2556</v>
      </c>
      <c r="B110" s="3966"/>
      <c r="C110" s="3966"/>
      <c r="D110" s="3966"/>
      <c r="E110" s="3966"/>
      <c r="F110" s="3966"/>
      <c r="G110" s="3966"/>
      <c r="H110" s="3966"/>
      <c r="I110" s="3966"/>
      <c r="J110" s="3966"/>
      <c r="K110" s="1707"/>
      <c r="L110" s="1707"/>
      <c r="M110" s="1707"/>
      <c r="N110" s="1707"/>
    </row>
    <row r="112" spans="1:14" ht="13.8" thickBot="1"/>
    <row r="113" spans="1:13" ht="25.8" thickBot="1">
      <c r="A113" s="613" t="s">
        <v>2557</v>
      </c>
      <c r="B113" s="892">
        <f>G3</f>
        <v>1.41</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0.92020000000000002</v>
      </c>
      <c r="C115" s="620">
        <f>B115</f>
        <v>0.92020000000000002</v>
      </c>
      <c r="D115" s="620">
        <f>ROUND(0.8331-0.0109*B113,4)</f>
        <v>0.81769999999999998</v>
      </c>
      <c r="E115" s="620">
        <f>D115</f>
        <v>0.81769999999999998</v>
      </c>
      <c r="F115" s="620">
        <f>E115</f>
        <v>0.81769999999999998</v>
      </c>
      <c r="G115" s="620">
        <f>F115</f>
        <v>0.81769999999999998</v>
      </c>
      <c r="H115" s="620">
        <f>G115</f>
        <v>0.81769999999999998</v>
      </c>
      <c r="I115" s="620">
        <f>ROUND(0.689-0.0155*B113,4)</f>
        <v>0.66710000000000003</v>
      </c>
      <c r="J115" s="620">
        <f t="shared" ref="J115:M118" si="33">I115</f>
        <v>0.66710000000000003</v>
      </c>
      <c r="K115" s="620">
        <f t="shared" si="33"/>
        <v>0.66710000000000003</v>
      </c>
      <c r="L115" s="620">
        <f t="shared" si="33"/>
        <v>0.66710000000000003</v>
      </c>
      <c r="M115" s="621">
        <f t="shared" si="33"/>
        <v>0.66710000000000003</v>
      </c>
    </row>
    <row r="116" spans="1:13">
      <c r="A116" s="619" t="s">
        <v>2457</v>
      </c>
      <c r="B116" s="620">
        <f>ROUND(0.949-0.012*B113,4)</f>
        <v>0.93210000000000004</v>
      </c>
      <c r="C116" s="620">
        <f>B116</f>
        <v>0.93210000000000004</v>
      </c>
      <c r="D116" s="620">
        <f>ROUND(0.8567-0.013*B113,4)</f>
        <v>0.83840000000000003</v>
      </c>
      <c r="E116" s="620">
        <f t="shared" ref="E116:H117" si="34">D116</f>
        <v>0.83840000000000003</v>
      </c>
      <c r="F116" s="620">
        <f t="shared" si="34"/>
        <v>0.83840000000000003</v>
      </c>
      <c r="G116" s="620">
        <f t="shared" si="34"/>
        <v>0.83840000000000003</v>
      </c>
      <c r="H116" s="620">
        <f t="shared" si="34"/>
        <v>0.83840000000000003</v>
      </c>
      <c r="I116" s="620">
        <f>ROUND(0.7694-0.014*B113,4)</f>
        <v>0.74970000000000003</v>
      </c>
      <c r="J116" s="620">
        <f t="shared" si="33"/>
        <v>0.74970000000000003</v>
      </c>
      <c r="K116" s="620">
        <f t="shared" si="33"/>
        <v>0.74970000000000003</v>
      </c>
      <c r="L116" s="620">
        <f t="shared" si="33"/>
        <v>0.74970000000000003</v>
      </c>
      <c r="M116" s="621">
        <f t="shared" si="33"/>
        <v>0.74970000000000003</v>
      </c>
    </row>
    <row r="117" spans="1:13">
      <c r="A117" s="619" t="s">
        <v>2458</v>
      </c>
      <c r="B117" s="620">
        <f>ROUND(0.8808-0.006*B113,4)</f>
        <v>0.87229999999999996</v>
      </c>
      <c r="C117" s="620">
        <f>B117</f>
        <v>0.87229999999999996</v>
      </c>
      <c r="D117" s="620">
        <f>ROUND(0.8748-0.008*B113,4)</f>
        <v>0.86350000000000005</v>
      </c>
      <c r="E117" s="620">
        <f t="shared" si="34"/>
        <v>0.86350000000000005</v>
      </c>
      <c r="F117" s="620">
        <f t="shared" si="34"/>
        <v>0.86350000000000005</v>
      </c>
      <c r="G117" s="620">
        <f t="shared" si="34"/>
        <v>0.86350000000000005</v>
      </c>
      <c r="H117" s="620">
        <f t="shared" si="34"/>
        <v>0.86350000000000005</v>
      </c>
      <c r="I117" s="620">
        <f>ROUND(0.7412-0.0095*B113,4)</f>
        <v>0.7278</v>
      </c>
      <c r="J117" s="620">
        <f t="shared" si="33"/>
        <v>0.7278</v>
      </c>
      <c r="K117" s="620">
        <f t="shared" si="33"/>
        <v>0.7278</v>
      </c>
      <c r="L117" s="620">
        <f t="shared" si="33"/>
        <v>0.7278</v>
      </c>
      <c r="M117" s="621">
        <f t="shared" si="33"/>
        <v>0.7278</v>
      </c>
    </row>
    <row r="118" spans="1:13" ht="13.8" thickBot="1">
      <c r="A118" s="486" t="s">
        <v>2459</v>
      </c>
      <c r="B118" s="622">
        <f>ROUND(0.7275-0.01*B113,4)</f>
        <v>0.71340000000000003</v>
      </c>
      <c r="C118" s="622">
        <f>B118</f>
        <v>0.71340000000000003</v>
      </c>
      <c r="D118" s="622">
        <f>ROUND(0.7043-0.012*B113,4)</f>
        <v>0.68740000000000001</v>
      </c>
      <c r="E118" s="622">
        <f>D118</f>
        <v>0.68740000000000001</v>
      </c>
      <c r="F118" s="622">
        <f>E118</f>
        <v>0.68740000000000001</v>
      </c>
      <c r="G118" s="622">
        <f>ROUND(0.6299-0.0122*B113,4)</f>
        <v>0.61270000000000002</v>
      </c>
      <c r="H118" s="622">
        <f>G118</f>
        <v>0.61270000000000002</v>
      </c>
      <c r="I118" s="622">
        <f>ROUND(0.5667-0.0136*B113,4)</f>
        <v>0.54749999999999999</v>
      </c>
      <c r="J118" s="622">
        <f t="shared" si="33"/>
        <v>0.54749999999999999</v>
      </c>
      <c r="K118" s="622">
        <f t="shared" si="33"/>
        <v>0.54749999999999999</v>
      </c>
      <c r="L118" s="622">
        <f t="shared" si="33"/>
        <v>0.54749999999999999</v>
      </c>
      <c r="M118" s="623">
        <f t="shared" si="33"/>
        <v>0.54749999999999999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44"/>
    <col min="2" max="9" width="14.33203125" style="590"/>
    <col min="10" max="16384" width="14.3320312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6" t="s">
        <v>2949</v>
      </c>
      <c r="B20" s="3989" t="s">
        <v>2950</v>
      </c>
      <c r="C20" s="2399" t="s">
        <v>2951</v>
      </c>
      <c r="D20" s="2400"/>
      <c r="E20" s="2401">
        <v>1</v>
      </c>
      <c r="F20" s="2402" t="s">
        <v>2952</v>
      </c>
      <c r="G20" s="596"/>
      <c r="H20" s="590"/>
      <c r="I20" s="590"/>
    </row>
    <row r="21" spans="1:13" s="597" customFormat="1" ht="19.5" customHeight="1">
      <c r="A21" s="3997"/>
      <c r="B21" s="3990"/>
      <c r="C21" s="594" t="s">
        <v>2953</v>
      </c>
      <c r="D21" s="595"/>
      <c r="E21" s="2403">
        <v>1</v>
      </c>
      <c r="F21" s="2402" t="s">
        <v>2954</v>
      </c>
      <c r="G21" s="596"/>
      <c r="H21" s="590"/>
      <c r="I21" s="590"/>
    </row>
    <row r="22" spans="1:13" s="597" customFormat="1" ht="19.5" customHeight="1">
      <c r="A22" s="3997"/>
      <c r="B22" s="3990"/>
      <c r="C22" s="594" t="s">
        <v>2955</v>
      </c>
      <c r="D22" s="595"/>
      <c r="E22" s="2403">
        <v>0.9</v>
      </c>
      <c r="F22" s="2402" t="s">
        <v>2956</v>
      </c>
      <c r="G22" s="596"/>
      <c r="H22" s="590"/>
      <c r="I22" s="590"/>
    </row>
    <row r="23" spans="1:13" s="597" customFormat="1" ht="19.5" customHeight="1">
      <c r="A23" s="3997"/>
      <c r="B23" s="3990"/>
      <c r="C23" s="594" t="s">
        <v>2957</v>
      </c>
      <c r="D23" s="595"/>
      <c r="E23" s="2403">
        <v>0.9</v>
      </c>
      <c r="F23" s="2402" t="s">
        <v>2958</v>
      </c>
      <c r="G23" s="596"/>
      <c r="H23" s="590"/>
      <c r="I23" s="590"/>
    </row>
    <row r="24" spans="1:13" s="597" customFormat="1" ht="19.5" customHeight="1">
      <c r="A24" s="3997"/>
      <c r="B24" s="3990"/>
      <c r="C24" s="594" t="s">
        <v>2959</v>
      </c>
      <c r="D24" s="595"/>
      <c r="E24" s="2403">
        <v>0.8</v>
      </c>
      <c r="F24" s="2402" t="s">
        <v>2960</v>
      </c>
      <c r="G24" s="596"/>
      <c r="H24" s="590"/>
      <c r="I24" s="590"/>
    </row>
    <row r="25" spans="1:13" s="597" customFormat="1" ht="19.5" customHeight="1" thickBot="1">
      <c r="A25" s="3998"/>
      <c r="B25" s="3991"/>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92" t="s">
        <v>2966</v>
      </c>
      <c r="B27" s="3989" t="s">
        <v>2966</v>
      </c>
      <c r="C27" s="2399" t="s">
        <v>2967</v>
      </c>
      <c r="D27" s="2400"/>
      <c r="E27" s="2401">
        <v>1</v>
      </c>
      <c r="F27" s="2402" t="s">
        <v>2968</v>
      </c>
      <c r="G27" s="596"/>
      <c r="H27" s="590"/>
      <c r="I27" s="590"/>
    </row>
    <row r="28" spans="1:13" s="597" customFormat="1" ht="19.5" customHeight="1">
      <c r="A28" s="3993"/>
      <c r="B28" s="3990"/>
      <c r="C28" s="594" t="s">
        <v>2969</v>
      </c>
      <c r="D28" s="595"/>
      <c r="E28" s="2403">
        <v>1</v>
      </c>
      <c r="F28" s="2402" t="s">
        <v>2970</v>
      </c>
      <c r="G28" s="596"/>
      <c r="H28" s="590"/>
      <c r="I28" s="590"/>
    </row>
    <row r="29" spans="1:13" s="597" customFormat="1" ht="19.5" customHeight="1">
      <c r="A29" s="3993"/>
      <c r="B29" s="3990"/>
      <c r="C29" s="594" t="s">
        <v>2971</v>
      </c>
      <c r="D29" s="595"/>
      <c r="E29" s="2403">
        <v>0.8</v>
      </c>
      <c r="F29" s="2402" t="s">
        <v>2972</v>
      </c>
      <c r="G29" s="596"/>
      <c r="H29" s="590"/>
      <c r="I29" s="590"/>
    </row>
    <row r="30" spans="1:13" s="597" customFormat="1" ht="19.5" customHeight="1">
      <c r="A30" s="3993"/>
      <c r="B30" s="3990"/>
      <c r="C30" s="594" t="s">
        <v>2973</v>
      </c>
      <c r="D30" s="595"/>
      <c r="E30" s="2403">
        <v>0.8</v>
      </c>
      <c r="F30" s="2402" t="s">
        <v>2974</v>
      </c>
      <c r="G30" s="596"/>
      <c r="H30" s="590"/>
      <c r="I30" s="590"/>
    </row>
    <row r="31" spans="1:13" s="597" customFormat="1" ht="19.5" customHeight="1">
      <c r="A31" s="3993"/>
      <c r="B31" s="3990"/>
      <c r="C31" s="594" t="s">
        <v>2975</v>
      </c>
      <c r="D31" s="595"/>
      <c r="E31" s="2403">
        <v>0.8</v>
      </c>
      <c r="F31" s="2402" t="s">
        <v>2976</v>
      </c>
      <c r="G31" s="596"/>
      <c r="H31" s="590"/>
      <c r="I31" s="590"/>
    </row>
    <row r="32" spans="1:13" s="597" customFormat="1" ht="19.5" customHeight="1">
      <c r="A32" s="3993"/>
      <c r="B32" s="3990"/>
      <c r="C32" s="594" t="s">
        <v>2977</v>
      </c>
      <c r="D32" s="595"/>
      <c r="E32" s="2403">
        <v>0.7</v>
      </c>
      <c r="F32" s="2402" t="s">
        <v>2978</v>
      </c>
      <c r="G32" s="596"/>
      <c r="H32" s="590"/>
      <c r="I32" s="590"/>
    </row>
    <row r="33" spans="1:9" s="597" customFormat="1" ht="19.5" customHeight="1">
      <c r="A33" s="3993"/>
      <c r="B33" s="3990"/>
      <c r="C33" s="594" t="s">
        <v>2979</v>
      </c>
      <c r="D33" s="595"/>
      <c r="E33" s="2403">
        <v>0.8</v>
      </c>
      <c r="F33" s="2402" t="s">
        <v>2980</v>
      </c>
      <c r="G33" s="596"/>
      <c r="H33" s="590"/>
      <c r="I33" s="590"/>
    </row>
    <row r="34" spans="1:9" s="597" customFormat="1" ht="19.5" customHeight="1">
      <c r="A34" s="3993"/>
      <c r="B34" s="3990"/>
      <c r="C34" s="594" t="s">
        <v>2981</v>
      </c>
      <c r="D34" s="595"/>
      <c r="E34" s="2403">
        <v>0.6</v>
      </c>
      <c r="F34" s="2402" t="s">
        <v>2982</v>
      </c>
      <c r="G34" s="596"/>
      <c r="H34" s="590"/>
      <c r="I34" s="590"/>
    </row>
    <row r="35" spans="1:9" s="597" customFormat="1" ht="19.5" customHeight="1">
      <c r="A35" s="3993"/>
      <c r="B35" s="3990"/>
      <c r="C35" s="594" t="s">
        <v>2983</v>
      </c>
      <c r="D35" s="595"/>
      <c r="E35" s="2403">
        <v>0.2</v>
      </c>
      <c r="F35" s="2402" t="s">
        <v>2984</v>
      </c>
      <c r="G35" s="596"/>
      <c r="H35" s="590"/>
      <c r="I35" s="590"/>
    </row>
    <row r="36" spans="1:9" s="597" customFormat="1" ht="19.5" customHeight="1">
      <c r="A36" s="3993"/>
      <c r="B36" s="3990"/>
      <c r="C36" s="594" t="s">
        <v>2985</v>
      </c>
      <c r="D36" s="595"/>
      <c r="E36" s="2403">
        <v>0.2</v>
      </c>
      <c r="F36" s="2402" t="s">
        <v>2986</v>
      </c>
      <c r="G36" s="596"/>
      <c r="H36" s="590"/>
      <c r="I36" s="590"/>
    </row>
    <row r="37" spans="1:9" s="597" customFormat="1" ht="19.5" customHeight="1">
      <c r="A37" s="3993"/>
      <c r="B37" s="3995" t="s">
        <v>2987</v>
      </c>
      <c r="C37" s="594" t="s">
        <v>2988</v>
      </c>
      <c r="D37" s="595"/>
      <c r="E37" s="2403">
        <v>0.6</v>
      </c>
      <c r="F37" s="2402" t="s">
        <v>2989</v>
      </c>
      <c r="G37" s="596"/>
      <c r="H37" s="590"/>
      <c r="I37" s="590"/>
    </row>
    <row r="38" spans="1:9" s="597" customFormat="1" ht="19.5" customHeight="1">
      <c r="A38" s="3993"/>
      <c r="B38" s="3990"/>
      <c r="C38" s="594" t="s">
        <v>2990</v>
      </c>
      <c r="D38" s="595"/>
      <c r="E38" s="2403">
        <v>0.6</v>
      </c>
      <c r="F38" s="2402" t="s">
        <v>2991</v>
      </c>
      <c r="G38" s="596"/>
      <c r="H38" s="590"/>
      <c r="I38" s="590"/>
    </row>
    <row r="39" spans="1:9" s="597" customFormat="1" ht="19.5" customHeight="1" thickBot="1">
      <c r="A39" s="3994"/>
      <c r="B39" s="3991"/>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6" t="s">
        <v>2997</v>
      </c>
      <c r="B41" s="3989" t="s">
        <v>2998</v>
      </c>
      <c r="C41" s="2399" t="s">
        <v>2999</v>
      </c>
      <c r="D41" s="2400"/>
      <c r="E41" s="2401">
        <v>1</v>
      </c>
      <c r="F41" s="2402" t="s">
        <v>3000</v>
      </c>
      <c r="G41" s="596"/>
      <c r="H41" s="590"/>
      <c r="I41" s="590"/>
    </row>
    <row r="42" spans="1:9" s="597" customFormat="1" ht="19.5" customHeight="1">
      <c r="A42" s="3997"/>
      <c r="B42" s="3990"/>
      <c r="C42" s="594" t="s">
        <v>3001</v>
      </c>
      <c r="D42" s="595"/>
      <c r="E42" s="2403">
        <v>1</v>
      </c>
      <c r="F42" s="2402" t="s">
        <v>3002</v>
      </c>
      <c r="G42" s="596"/>
      <c r="H42" s="590"/>
      <c r="I42" s="590"/>
    </row>
    <row r="43" spans="1:9" s="597" customFormat="1" ht="19.5" customHeight="1">
      <c r="A43" s="3997"/>
      <c r="B43" s="3999"/>
      <c r="C43" s="594" t="s">
        <v>3003</v>
      </c>
      <c r="D43" s="595"/>
      <c r="E43" s="2403">
        <v>1.5</v>
      </c>
      <c r="F43" s="2402" t="s">
        <v>3004</v>
      </c>
      <c r="G43" s="596"/>
      <c r="H43" s="590"/>
      <c r="I43" s="590"/>
    </row>
    <row r="44" spans="1:9" s="597" customFormat="1" ht="19.5" customHeight="1">
      <c r="A44" s="3997"/>
      <c r="B44" s="2412" t="s">
        <v>2966</v>
      </c>
      <c r="C44" s="594" t="s">
        <v>3005</v>
      </c>
      <c r="D44" s="595"/>
      <c r="E44" s="2403">
        <v>2</v>
      </c>
      <c r="F44" s="2402" t="s">
        <v>3006</v>
      </c>
      <c r="G44" s="596"/>
      <c r="H44" s="590"/>
      <c r="I44" s="590"/>
    </row>
    <row r="45" spans="1:9" s="597" customFormat="1" ht="19.5" customHeight="1">
      <c r="A45" s="3997"/>
      <c r="B45" s="3995" t="s">
        <v>3007</v>
      </c>
      <c r="C45" s="594" t="s">
        <v>3008</v>
      </c>
      <c r="D45" s="595"/>
      <c r="E45" s="2403">
        <v>1</v>
      </c>
      <c r="F45" s="2402" t="s">
        <v>3009</v>
      </c>
      <c r="G45" s="596"/>
      <c r="H45" s="590"/>
      <c r="I45" s="590"/>
    </row>
    <row r="46" spans="1:9" s="597" customFormat="1" ht="19.5" customHeight="1">
      <c r="A46" s="3997"/>
      <c r="B46" s="3990"/>
      <c r="C46" s="594" t="s">
        <v>3010</v>
      </c>
      <c r="D46" s="595"/>
      <c r="E46" s="2403">
        <v>1</v>
      </c>
      <c r="F46" s="2402" t="s">
        <v>3011</v>
      </c>
      <c r="G46" s="596"/>
      <c r="H46" s="590"/>
      <c r="I46" s="590"/>
    </row>
    <row r="47" spans="1:9" s="597" customFormat="1" ht="19.5" customHeight="1">
      <c r="A47" s="3997"/>
      <c r="B47" s="3990"/>
      <c r="C47" s="594" t="s">
        <v>3012</v>
      </c>
      <c r="D47" s="595"/>
      <c r="E47" s="2403">
        <v>1</v>
      </c>
      <c r="F47" s="2402" t="s">
        <v>3013</v>
      </c>
      <c r="G47" s="596"/>
      <c r="H47" s="590"/>
      <c r="I47" s="590"/>
    </row>
    <row r="48" spans="1:9" s="597" customFormat="1" ht="19.5" customHeight="1">
      <c r="A48" s="3997"/>
      <c r="B48" s="3990"/>
      <c r="C48" s="594" t="s">
        <v>3014</v>
      </c>
      <c r="D48" s="595"/>
      <c r="E48" s="2403">
        <v>1</v>
      </c>
      <c r="F48" s="2402" t="s">
        <v>3015</v>
      </c>
      <c r="G48" s="596"/>
      <c r="H48" s="590"/>
      <c r="I48" s="590"/>
    </row>
    <row r="49" spans="1:9" s="597" customFormat="1" ht="19.5" customHeight="1">
      <c r="A49" s="3997"/>
      <c r="B49" s="3990"/>
      <c r="C49" s="594" t="s">
        <v>3016</v>
      </c>
      <c r="D49" s="595"/>
      <c r="E49" s="2403">
        <v>1</v>
      </c>
      <c r="F49" s="2402" t="s">
        <v>3017</v>
      </c>
      <c r="G49" s="596"/>
      <c r="H49" s="590"/>
      <c r="I49" s="590"/>
    </row>
    <row r="50" spans="1:9" s="597" customFormat="1" ht="19.5" customHeight="1">
      <c r="A50" s="3997"/>
      <c r="B50" s="3990"/>
      <c r="C50" s="594" t="s">
        <v>3018</v>
      </c>
      <c r="D50" s="595"/>
      <c r="E50" s="2403">
        <v>1</v>
      </c>
      <c r="F50" s="2402" t="s">
        <v>3019</v>
      </c>
      <c r="G50" s="596"/>
      <c r="H50" s="590"/>
      <c r="I50" s="590"/>
    </row>
    <row r="51" spans="1:9" s="597" customFormat="1" ht="19.5" customHeight="1" thickBot="1">
      <c r="A51" s="3998"/>
      <c r="B51" s="3991"/>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4.4">
      <c r="A72" s="648"/>
      <c r="B72" s="648"/>
      <c r="C72" s="648" t="s">
        <v>3022</v>
      </c>
      <c r="D72" s="648"/>
      <c r="E72" s="605" t="s">
        <v>1</v>
      </c>
      <c r="F72" s="648" t="s">
        <v>1</v>
      </c>
    </row>
    <row r="73" spans="1:7" s="590" customFormat="1" ht="14.4">
      <c r="A73" s="2412">
        <v>1</v>
      </c>
      <c r="B73" s="3995" t="s">
        <v>3023</v>
      </c>
      <c r="C73" s="2392" t="s">
        <v>3024</v>
      </c>
      <c r="D73" s="2392" t="s">
        <v>3025</v>
      </c>
      <c r="E73" s="2413">
        <v>0.2</v>
      </c>
      <c r="F73" s="2412">
        <v>25</v>
      </c>
    </row>
    <row r="74" spans="1:7" s="590" customFormat="1" ht="24">
      <c r="A74" s="2412">
        <v>2</v>
      </c>
      <c r="B74" s="3990"/>
      <c r="C74" s="2392" t="s">
        <v>3026</v>
      </c>
      <c r="D74" s="2392" t="s">
        <v>3027</v>
      </c>
      <c r="E74" s="2413">
        <v>0.2</v>
      </c>
      <c r="F74" s="2412">
        <v>25</v>
      </c>
    </row>
    <row r="75" spans="1:7" s="590" customFormat="1" ht="24">
      <c r="A75" s="2412">
        <v>3</v>
      </c>
      <c r="B75" s="3990"/>
      <c r="C75" s="2392" t="s">
        <v>3028</v>
      </c>
      <c r="D75" s="2392" t="s">
        <v>3029</v>
      </c>
      <c r="E75" s="2413">
        <v>0.2</v>
      </c>
      <c r="F75" s="2412">
        <v>25</v>
      </c>
    </row>
    <row r="76" spans="1:7" s="590" customFormat="1" ht="14.4">
      <c r="A76" s="2412">
        <v>4</v>
      </c>
      <c r="B76" s="3990"/>
      <c r="C76" s="2392" t="s">
        <v>3030</v>
      </c>
      <c r="D76" s="2392" t="s">
        <v>3031</v>
      </c>
      <c r="E76" s="2413">
        <v>0.15</v>
      </c>
      <c r="F76" s="2412">
        <v>20</v>
      </c>
    </row>
    <row r="77" spans="1:7" s="590" customFormat="1" ht="24">
      <c r="A77" s="2412">
        <v>5</v>
      </c>
      <c r="B77" s="3990"/>
      <c r="C77" s="2392" t="s">
        <v>3032</v>
      </c>
      <c r="D77" s="2392" t="s">
        <v>3033</v>
      </c>
      <c r="E77" s="2413">
        <v>0.15</v>
      </c>
      <c r="F77" s="2412">
        <v>20</v>
      </c>
    </row>
    <row r="78" spans="1:7" s="590" customFormat="1" ht="24">
      <c r="A78" s="2412">
        <v>6</v>
      </c>
      <c r="B78" s="3990"/>
      <c r="C78" s="2392" t="s">
        <v>3034</v>
      </c>
      <c r="D78" s="2392" t="s">
        <v>3035</v>
      </c>
      <c r="E78" s="2413">
        <v>0.15</v>
      </c>
      <c r="F78" s="2412">
        <v>20</v>
      </c>
    </row>
    <row r="79" spans="1:7" s="590" customFormat="1" ht="24">
      <c r="A79" s="2412">
        <v>7</v>
      </c>
      <c r="B79" s="3990"/>
      <c r="C79" s="2392" t="s">
        <v>3036</v>
      </c>
      <c r="D79" s="2392" t="s">
        <v>3037</v>
      </c>
      <c r="E79" s="2413">
        <v>0.15</v>
      </c>
      <c r="F79" s="2412">
        <v>20</v>
      </c>
    </row>
    <row r="80" spans="1:7" s="590" customFormat="1" ht="24">
      <c r="A80" s="2412">
        <v>8</v>
      </c>
      <c r="B80" s="3990"/>
      <c r="C80" s="2392" t="s">
        <v>3038</v>
      </c>
      <c r="D80" s="2392" t="s">
        <v>3039</v>
      </c>
      <c r="E80" s="2413">
        <v>0.1</v>
      </c>
      <c r="F80" s="2412">
        <v>15</v>
      </c>
    </row>
    <row r="81" spans="1:6" s="590" customFormat="1" ht="24">
      <c r="A81" s="2412">
        <v>9</v>
      </c>
      <c r="B81" s="3990"/>
      <c r="C81" s="2392" t="s">
        <v>3040</v>
      </c>
      <c r="D81" s="2392" t="s">
        <v>3041</v>
      </c>
      <c r="E81" s="2413">
        <v>0.1</v>
      </c>
      <c r="F81" s="2412">
        <v>15</v>
      </c>
    </row>
    <row r="82" spans="1:6" s="590" customFormat="1" ht="24">
      <c r="A82" s="2412">
        <v>10</v>
      </c>
      <c r="B82" s="3990"/>
      <c r="C82" s="2392" t="s">
        <v>3042</v>
      </c>
      <c r="D82" s="2392" t="s">
        <v>3043</v>
      </c>
      <c r="E82" s="2413">
        <v>0.1</v>
      </c>
      <c r="F82" s="2412">
        <v>15</v>
      </c>
    </row>
    <row r="83" spans="1:6" s="590" customFormat="1" ht="24">
      <c r="A83" s="2412">
        <v>11</v>
      </c>
      <c r="B83" s="3990"/>
      <c r="C83" s="2392" t="s">
        <v>3044</v>
      </c>
      <c r="D83" s="2392" t="s">
        <v>3045</v>
      </c>
      <c r="E83" s="2413">
        <v>0.1</v>
      </c>
      <c r="F83" s="2412">
        <v>15</v>
      </c>
    </row>
    <row r="84" spans="1:6" s="590" customFormat="1" ht="24">
      <c r="A84" s="2412">
        <v>12</v>
      </c>
      <c r="B84" s="3990"/>
      <c r="C84" s="2392" t="s">
        <v>3046</v>
      </c>
      <c r="D84" s="2392" t="s">
        <v>3047</v>
      </c>
      <c r="E84" s="2413">
        <v>0.1</v>
      </c>
      <c r="F84" s="2412">
        <v>15</v>
      </c>
    </row>
    <row r="85" spans="1:6" s="590" customFormat="1" ht="24">
      <c r="A85" s="2412">
        <v>13</v>
      </c>
      <c r="B85" s="3990"/>
      <c r="C85" s="2392" t="s">
        <v>3048</v>
      </c>
      <c r="D85" s="2392" t="s">
        <v>3049</v>
      </c>
      <c r="E85" s="2413">
        <v>0.1</v>
      </c>
      <c r="F85" s="2412">
        <v>15</v>
      </c>
    </row>
    <row r="86" spans="1:6" s="590" customFormat="1" ht="24">
      <c r="A86" s="2412">
        <v>14</v>
      </c>
      <c r="B86" s="3990"/>
      <c r="C86" s="2392" t="s">
        <v>3050</v>
      </c>
      <c r="D86" s="2392" t="s">
        <v>3051</v>
      </c>
      <c r="E86" s="2413">
        <v>0.1</v>
      </c>
      <c r="F86" s="2412">
        <v>15</v>
      </c>
    </row>
    <row r="87" spans="1:6" s="590" customFormat="1" ht="24">
      <c r="A87" s="2412">
        <v>15</v>
      </c>
      <c r="B87" s="3990"/>
      <c r="C87" s="2392" t="s">
        <v>3052</v>
      </c>
      <c r="D87" s="2392" t="s">
        <v>3053</v>
      </c>
      <c r="E87" s="2413">
        <v>0.1</v>
      </c>
      <c r="F87" s="2412">
        <v>15</v>
      </c>
    </row>
    <row r="88" spans="1:6" s="590" customFormat="1" ht="24">
      <c r="A88" s="2412">
        <v>16</v>
      </c>
      <c r="B88" s="3990"/>
      <c r="C88" s="2392" t="s">
        <v>3054</v>
      </c>
      <c r="D88" s="2392" t="s">
        <v>3055</v>
      </c>
      <c r="E88" s="2413">
        <v>0.1</v>
      </c>
      <c r="F88" s="2412">
        <v>15</v>
      </c>
    </row>
    <row r="89" spans="1:6" s="590" customFormat="1" ht="24">
      <c r="A89" s="2412">
        <v>17</v>
      </c>
      <c r="B89" s="3999"/>
      <c r="C89" s="2392" t="s">
        <v>3056</v>
      </c>
      <c r="D89" s="2392" t="s">
        <v>3057</v>
      </c>
      <c r="E89" s="2413">
        <v>0.1</v>
      </c>
      <c r="F89" s="2412">
        <v>15</v>
      </c>
    </row>
    <row r="90" spans="1:6" s="590" customFormat="1" ht="14.4">
      <c r="A90" s="2412">
        <v>18</v>
      </c>
      <c r="B90" s="3995" t="s">
        <v>3058</v>
      </c>
      <c r="C90" s="2392" t="s">
        <v>3059</v>
      </c>
      <c r="D90" s="2392" t="s">
        <v>3060</v>
      </c>
      <c r="E90" s="2413">
        <v>0.2</v>
      </c>
      <c r="F90" s="2412">
        <v>25</v>
      </c>
    </row>
    <row r="91" spans="1:6" s="590" customFormat="1" ht="24">
      <c r="A91" s="2412">
        <v>19</v>
      </c>
      <c r="B91" s="3990"/>
      <c r="C91" s="2392" t="s">
        <v>3061</v>
      </c>
      <c r="D91" s="2392" t="s">
        <v>3062</v>
      </c>
      <c r="E91" s="2413">
        <v>0.2</v>
      </c>
      <c r="F91" s="2412">
        <v>25</v>
      </c>
    </row>
    <row r="92" spans="1:6" s="590" customFormat="1" ht="14.4">
      <c r="A92" s="2412">
        <v>20</v>
      </c>
      <c r="B92" s="3990"/>
      <c r="C92" s="2392" t="s">
        <v>3063</v>
      </c>
      <c r="D92" s="2392" t="s">
        <v>3064</v>
      </c>
      <c r="E92" s="2413">
        <v>0.15</v>
      </c>
      <c r="F92" s="2412">
        <v>20</v>
      </c>
    </row>
    <row r="93" spans="1:6" s="590" customFormat="1" ht="24">
      <c r="A93" s="2412">
        <v>21</v>
      </c>
      <c r="B93" s="3990"/>
      <c r="C93" s="2392" t="s">
        <v>3065</v>
      </c>
      <c r="D93" s="2392" t="s">
        <v>3066</v>
      </c>
      <c r="E93" s="2413">
        <v>0.15</v>
      </c>
      <c r="F93" s="2412">
        <v>20</v>
      </c>
    </row>
    <row r="94" spans="1:6" s="590" customFormat="1" ht="24">
      <c r="A94" s="2412">
        <v>22</v>
      </c>
      <c r="B94" s="3990"/>
      <c r="C94" s="2392" t="s">
        <v>3067</v>
      </c>
      <c r="D94" s="2392" t="s">
        <v>3068</v>
      </c>
      <c r="E94" s="2413">
        <v>0.15</v>
      </c>
      <c r="F94" s="2412">
        <v>20</v>
      </c>
    </row>
    <row r="95" spans="1:6" s="590" customFormat="1" ht="36">
      <c r="A95" s="2412">
        <v>23</v>
      </c>
      <c r="B95" s="3990"/>
      <c r="C95" s="2392" t="s">
        <v>3069</v>
      </c>
      <c r="D95" s="2392" t="s">
        <v>3070</v>
      </c>
      <c r="E95" s="2413">
        <v>0.15</v>
      </c>
      <c r="F95" s="2412">
        <v>20</v>
      </c>
    </row>
    <row r="96" spans="1:6" s="590" customFormat="1" ht="24">
      <c r="A96" s="2412">
        <v>24</v>
      </c>
      <c r="B96" s="3990"/>
      <c r="C96" s="2392" t="s">
        <v>3071</v>
      </c>
      <c r="D96" s="2392" t="s">
        <v>3072</v>
      </c>
      <c r="E96" s="2413">
        <v>0.1</v>
      </c>
      <c r="F96" s="2412">
        <v>15</v>
      </c>
    </row>
    <row r="97" spans="1:6" s="590" customFormat="1" ht="24">
      <c r="A97" s="2412">
        <v>25</v>
      </c>
      <c r="B97" s="3990"/>
      <c r="C97" s="2392" t="s">
        <v>3073</v>
      </c>
      <c r="D97" s="2392" t="s">
        <v>3074</v>
      </c>
      <c r="E97" s="2413">
        <v>0.1</v>
      </c>
      <c r="F97" s="2412">
        <v>15</v>
      </c>
    </row>
    <row r="98" spans="1:6" s="590" customFormat="1" ht="24">
      <c r="A98" s="2412">
        <v>26</v>
      </c>
      <c r="B98" s="3990"/>
      <c r="C98" s="2392" t="s">
        <v>3075</v>
      </c>
      <c r="D98" s="2392" t="s">
        <v>3076</v>
      </c>
      <c r="E98" s="2413">
        <v>0.1</v>
      </c>
      <c r="F98" s="2412">
        <v>15</v>
      </c>
    </row>
    <row r="99" spans="1:6" s="590" customFormat="1" ht="24">
      <c r="A99" s="2412">
        <v>27</v>
      </c>
      <c r="B99" s="3990"/>
      <c r="C99" s="2392" t="s">
        <v>3077</v>
      </c>
      <c r="D99" s="2392" t="s">
        <v>3078</v>
      </c>
      <c r="E99" s="2413">
        <v>0.1</v>
      </c>
      <c r="F99" s="2412">
        <v>15</v>
      </c>
    </row>
    <row r="100" spans="1:6" s="590" customFormat="1" ht="24">
      <c r="A100" s="2412">
        <v>28</v>
      </c>
      <c r="B100" s="3990"/>
      <c r="C100" s="2392" t="s">
        <v>3079</v>
      </c>
      <c r="D100" s="2392" t="s">
        <v>3080</v>
      </c>
      <c r="E100" s="2413">
        <v>0.1</v>
      </c>
      <c r="F100" s="2412">
        <v>15</v>
      </c>
    </row>
    <row r="101" spans="1:6" s="590" customFormat="1" ht="24">
      <c r="A101" s="2412">
        <v>29</v>
      </c>
      <c r="B101" s="3990"/>
      <c r="C101" s="2392" t="s">
        <v>3081</v>
      </c>
      <c r="D101" s="2392" t="s">
        <v>3082</v>
      </c>
      <c r="E101" s="2413">
        <v>0.1</v>
      </c>
      <c r="F101" s="2412">
        <v>15</v>
      </c>
    </row>
    <row r="102" spans="1:6" s="590" customFormat="1" ht="24">
      <c r="A102" s="2412">
        <v>30</v>
      </c>
      <c r="B102" s="3990"/>
      <c r="C102" s="2392" t="s">
        <v>3083</v>
      </c>
      <c r="D102" s="2392" t="s">
        <v>3084</v>
      </c>
      <c r="E102" s="2413">
        <v>0.1</v>
      </c>
      <c r="F102" s="2412">
        <v>15</v>
      </c>
    </row>
    <row r="103" spans="1:6" s="590" customFormat="1" ht="24">
      <c r="A103" s="2412">
        <v>31</v>
      </c>
      <c r="B103" s="3990"/>
      <c r="C103" s="2392" t="s">
        <v>3085</v>
      </c>
      <c r="D103" s="2392" t="s">
        <v>3086</v>
      </c>
      <c r="E103" s="2413">
        <v>0.1</v>
      </c>
      <c r="F103" s="2412">
        <v>15</v>
      </c>
    </row>
    <row r="104" spans="1:6" s="590" customFormat="1" ht="24">
      <c r="A104" s="2412">
        <v>32</v>
      </c>
      <c r="B104" s="3990"/>
      <c r="C104" s="2392" t="s">
        <v>3087</v>
      </c>
      <c r="D104" s="2392" t="s">
        <v>3088</v>
      </c>
      <c r="E104" s="2413">
        <v>0.1</v>
      </c>
      <c r="F104" s="2412">
        <v>15</v>
      </c>
    </row>
    <row r="105" spans="1:6" s="590" customFormat="1" ht="24">
      <c r="A105" s="2412">
        <v>33</v>
      </c>
      <c r="B105" s="3990"/>
      <c r="C105" s="2392" t="s">
        <v>3089</v>
      </c>
      <c r="D105" s="2392" t="s">
        <v>3090</v>
      </c>
      <c r="E105" s="2413">
        <v>0.1</v>
      </c>
      <c r="F105" s="2412">
        <v>15</v>
      </c>
    </row>
    <row r="106" spans="1:6" s="590" customFormat="1" ht="24">
      <c r="A106" s="2412">
        <v>34</v>
      </c>
      <c r="B106" s="3999"/>
      <c r="C106" s="2392" t="s">
        <v>3091</v>
      </c>
      <c r="D106" s="2392" t="s">
        <v>3092</v>
      </c>
      <c r="E106" s="2413">
        <v>0.1</v>
      </c>
      <c r="F106" s="2412">
        <v>15</v>
      </c>
    </row>
    <row r="107" spans="1:6" s="590" customFormat="1" ht="36">
      <c r="A107" s="2412">
        <v>35</v>
      </c>
      <c r="B107" s="3995" t="s">
        <v>3093</v>
      </c>
      <c r="C107" s="2412" t="s">
        <v>3094</v>
      </c>
      <c r="D107" s="2392" t="s">
        <v>3095</v>
      </c>
      <c r="E107" s="2413">
        <v>0.15</v>
      </c>
      <c r="F107" s="2412">
        <v>20</v>
      </c>
    </row>
    <row r="108" spans="1:6" s="590" customFormat="1" ht="24">
      <c r="A108" s="2412">
        <v>36</v>
      </c>
      <c r="B108" s="3990"/>
      <c r="C108" s="2412" t="s">
        <v>3096</v>
      </c>
      <c r="D108" s="2392" t="s">
        <v>3097</v>
      </c>
      <c r="E108" s="2413">
        <v>0.15</v>
      </c>
      <c r="F108" s="2412">
        <v>20</v>
      </c>
    </row>
    <row r="109" spans="1:6" s="590" customFormat="1" ht="24">
      <c r="A109" s="2412">
        <v>37</v>
      </c>
      <c r="B109" s="3990"/>
      <c r="C109" s="2412" t="s">
        <v>3098</v>
      </c>
      <c r="D109" s="2392" t="s">
        <v>3099</v>
      </c>
      <c r="E109" s="2413">
        <v>0.15</v>
      </c>
      <c r="F109" s="2412">
        <v>20</v>
      </c>
    </row>
    <row r="110" spans="1:6" s="590" customFormat="1" ht="24">
      <c r="A110" s="2412">
        <v>38</v>
      </c>
      <c r="B110" s="3990"/>
      <c r="C110" s="2412" t="s">
        <v>3100</v>
      </c>
      <c r="D110" s="2392" t="s">
        <v>3101</v>
      </c>
      <c r="E110" s="2413">
        <v>0.1</v>
      </c>
      <c r="F110" s="2412">
        <v>15</v>
      </c>
    </row>
    <row r="111" spans="1:6" s="590" customFormat="1" ht="24">
      <c r="A111" s="2412">
        <v>39</v>
      </c>
      <c r="B111" s="3990"/>
      <c r="C111" s="2412" t="s">
        <v>3102</v>
      </c>
      <c r="D111" s="2392" t="s">
        <v>3103</v>
      </c>
      <c r="E111" s="2413">
        <v>0.1</v>
      </c>
      <c r="F111" s="2412">
        <v>15</v>
      </c>
    </row>
    <row r="112" spans="1:6" s="590" customFormat="1" ht="24">
      <c r="A112" s="2412">
        <v>40</v>
      </c>
      <c r="B112" s="3999"/>
      <c r="C112" s="2412" t="s">
        <v>3104</v>
      </c>
      <c r="D112" s="2392" t="s">
        <v>3105</v>
      </c>
      <c r="E112" s="2413">
        <v>0.1</v>
      </c>
      <c r="F112" s="2412">
        <v>15</v>
      </c>
    </row>
    <row r="113" spans="1:6" s="590" customFormat="1" ht="24">
      <c r="A113" s="2412">
        <v>41</v>
      </c>
      <c r="B113" s="4000" t="s">
        <v>3106</v>
      </c>
      <c r="C113" s="2412" t="s">
        <v>3107</v>
      </c>
      <c r="D113" s="2392" t="s">
        <v>3108</v>
      </c>
      <c r="E113" s="2413">
        <v>0.1</v>
      </c>
      <c r="F113" s="2412">
        <v>15</v>
      </c>
    </row>
    <row r="114" spans="1:6" s="590" customFormat="1" ht="24">
      <c r="A114" s="2412">
        <v>42</v>
      </c>
      <c r="B114" s="4000"/>
      <c r="C114" s="2412" t="s">
        <v>3109</v>
      </c>
      <c r="D114" s="2392" t="s">
        <v>3110</v>
      </c>
      <c r="E114" s="2413">
        <v>0.1</v>
      </c>
      <c r="F114" s="2412">
        <v>15</v>
      </c>
    </row>
    <row r="115" spans="1:6" s="590" customFormat="1" ht="24">
      <c r="A115" s="2412">
        <v>43</v>
      </c>
      <c r="B115" s="4000"/>
      <c r="C115" s="2412" t="s">
        <v>3111</v>
      </c>
      <c r="D115" s="2392" t="s">
        <v>3112</v>
      </c>
      <c r="E115" s="2413">
        <v>0.1</v>
      </c>
      <c r="F115" s="2412">
        <v>15</v>
      </c>
    </row>
    <row r="116" spans="1:6" s="590" customFormat="1" ht="24">
      <c r="A116" s="2412">
        <v>44</v>
      </c>
      <c r="B116" s="3995" t="s">
        <v>3113</v>
      </c>
      <c r="C116" s="2412" t="s">
        <v>3114</v>
      </c>
      <c r="D116" s="2392" t="s">
        <v>3115</v>
      </c>
      <c r="E116" s="2413">
        <v>0.1</v>
      </c>
      <c r="F116" s="2412">
        <v>15</v>
      </c>
    </row>
    <row r="117" spans="1:6" s="590" customFormat="1" ht="24">
      <c r="A117" s="2412">
        <v>45</v>
      </c>
      <c r="B117" s="3999"/>
      <c r="C117" s="2392" t="s">
        <v>3116</v>
      </c>
      <c r="D117" s="2392" t="s">
        <v>3117</v>
      </c>
      <c r="E117" s="2413">
        <v>0.1</v>
      </c>
      <c r="F117" s="2412">
        <v>15</v>
      </c>
    </row>
    <row r="118" spans="1:6" s="590" customFormat="1" ht="24">
      <c r="A118" s="2412">
        <v>46</v>
      </c>
      <c r="B118" s="3995" t="s">
        <v>3118</v>
      </c>
      <c r="C118" s="2412" t="s">
        <v>3119</v>
      </c>
      <c r="D118" s="2392" t="s">
        <v>3120</v>
      </c>
      <c r="E118" s="2413">
        <v>0.1</v>
      </c>
      <c r="F118" s="2412">
        <v>15</v>
      </c>
    </row>
    <row r="119" spans="1:6" s="590" customFormat="1" ht="24">
      <c r="A119" s="2412">
        <v>47</v>
      </c>
      <c r="B119" s="3999"/>
      <c r="C119" s="2412" t="s">
        <v>3121</v>
      </c>
      <c r="D119" s="2392" t="s">
        <v>3122</v>
      </c>
      <c r="E119" s="2413">
        <v>0.1</v>
      </c>
      <c r="F119" s="2412">
        <v>15</v>
      </c>
    </row>
    <row r="120" spans="1:6" s="590" customFormat="1" ht="24">
      <c r="A120" s="2412">
        <v>48</v>
      </c>
      <c r="B120" s="3995" t="s">
        <v>3123</v>
      </c>
      <c r="C120" s="2412" t="s">
        <v>3124</v>
      </c>
      <c r="D120" s="2392" t="s">
        <v>3125</v>
      </c>
      <c r="E120" s="2413">
        <v>0.1</v>
      </c>
      <c r="F120" s="2412">
        <v>15</v>
      </c>
    </row>
    <row r="121" spans="1:6" s="590" customFormat="1" ht="24">
      <c r="A121" s="2412">
        <v>49</v>
      </c>
      <c r="B121" s="3999"/>
      <c r="C121" s="2412" t="s">
        <v>3126</v>
      </c>
      <c r="D121" s="2392" t="s">
        <v>3127</v>
      </c>
      <c r="E121" s="2413">
        <v>0.1</v>
      </c>
      <c r="F121" s="2412">
        <v>15</v>
      </c>
    </row>
    <row r="122" spans="1:6" s="590" customFormat="1" ht="24">
      <c r="A122" s="2412">
        <v>50</v>
      </c>
      <c r="B122" s="4000" t="s">
        <v>3128</v>
      </c>
      <c r="C122" s="2412" t="s">
        <v>3129</v>
      </c>
      <c r="D122" s="2392" t="s">
        <v>3130</v>
      </c>
      <c r="E122" s="2413">
        <v>0.1</v>
      </c>
      <c r="F122" s="2412">
        <v>15</v>
      </c>
    </row>
    <row r="123" spans="1:6" s="590" customFormat="1" ht="24">
      <c r="A123" s="2412">
        <v>51</v>
      </c>
      <c r="B123" s="4000"/>
      <c r="C123" s="2412" t="s">
        <v>3131</v>
      </c>
      <c r="D123" s="2392" t="s">
        <v>3132</v>
      </c>
      <c r="E123" s="2413">
        <v>0.1</v>
      </c>
      <c r="F123" s="2412">
        <v>15</v>
      </c>
    </row>
    <row r="124" spans="1:6" s="590" customFormat="1" ht="24">
      <c r="A124" s="2412">
        <v>52</v>
      </c>
      <c r="B124" s="4000" t="s">
        <v>3133</v>
      </c>
      <c r="C124" s="2412" t="s">
        <v>3134</v>
      </c>
      <c r="D124" s="2392" t="s">
        <v>3135</v>
      </c>
      <c r="E124" s="2413">
        <v>0.1</v>
      </c>
      <c r="F124" s="2412">
        <v>15</v>
      </c>
    </row>
    <row r="125" spans="1:6" s="590" customFormat="1" ht="24">
      <c r="A125" s="2412">
        <v>53</v>
      </c>
      <c r="B125" s="4000"/>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24">
      <c r="A127" s="2412">
        <v>55</v>
      </c>
      <c r="B127" s="4000" t="s">
        <v>3141</v>
      </c>
      <c r="C127" s="2412" t="s">
        <v>3142</v>
      </c>
      <c r="D127" s="2392" t="s">
        <v>3143</v>
      </c>
      <c r="E127" s="2413">
        <v>0.1</v>
      </c>
      <c r="F127" s="2412">
        <v>15</v>
      </c>
    </row>
    <row r="128" spans="1:6" ht="24">
      <c r="A128" s="2412">
        <v>56</v>
      </c>
      <c r="B128" s="4000"/>
      <c r="C128" s="2412" t="s">
        <v>3144</v>
      </c>
      <c r="D128" s="2392" t="s">
        <v>3145</v>
      </c>
      <c r="E128" s="2413">
        <v>0.1</v>
      </c>
      <c r="F128" s="2412">
        <v>15</v>
      </c>
    </row>
    <row r="129" spans="1:6" ht="24">
      <c r="A129" s="2412">
        <v>57</v>
      </c>
      <c r="B129" s="4000"/>
      <c r="C129" s="2412" t="s">
        <v>3146</v>
      </c>
      <c r="D129" s="2392" t="s">
        <v>3147</v>
      </c>
      <c r="E129" s="2413">
        <v>0.1</v>
      </c>
      <c r="F129" s="2412">
        <v>15</v>
      </c>
    </row>
    <row r="130" spans="1:6" ht="24">
      <c r="A130" s="2412">
        <v>58</v>
      </c>
      <c r="B130" s="4000" t="s">
        <v>3148</v>
      </c>
      <c r="C130" s="2412" t="s">
        <v>3149</v>
      </c>
      <c r="D130" s="2392" t="s">
        <v>3150</v>
      </c>
      <c r="E130" s="2413">
        <v>0.1</v>
      </c>
      <c r="F130" s="2412">
        <v>15</v>
      </c>
    </row>
    <row r="131" spans="1:6" ht="24">
      <c r="A131" s="2412">
        <v>59</v>
      </c>
      <c r="B131" s="4000"/>
      <c r="C131" s="2412" t="s">
        <v>3151</v>
      </c>
      <c r="D131" s="2392" t="s">
        <v>3152</v>
      </c>
      <c r="E131" s="2413">
        <v>0.1</v>
      </c>
      <c r="F131" s="2412">
        <v>15</v>
      </c>
    </row>
    <row r="132" spans="1:6" ht="24">
      <c r="A132" s="2412">
        <v>60</v>
      </c>
      <c r="B132" s="3995" t="s">
        <v>3153</v>
      </c>
      <c r="C132" s="2412" t="s">
        <v>3154</v>
      </c>
      <c r="D132" s="2392" t="s">
        <v>3155</v>
      </c>
      <c r="E132" s="2413">
        <v>0.1</v>
      </c>
      <c r="F132" s="2412">
        <v>15</v>
      </c>
    </row>
    <row r="133" spans="1:6" ht="24">
      <c r="A133" s="2412">
        <v>61</v>
      </c>
      <c r="B133" s="3999"/>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4000" t="s">
        <v>3161</v>
      </c>
      <c r="C135" s="2412" t="s">
        <v>3162</v>
      </c>
      <c r="D135" s="2392" t="s">
        <v>3163</v>
      </c>
      <c r="E135" s="2413">
        <v>0.1</v>
      </c>
      <c r="F135" s="2412">
        <v>15</v>
      </c>
    </row>
    <row r="136" spans="1:6" ht="24">
      <c r="A136" s="2412">
        <v>64</v>
      </c>
      <c r="B136" s="4000"/>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4.4">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25"/>
    <col min="2" max="16384" width="9" style="608"/>
  </cols>
  <sheetData>
    <row r="1" spans="1:14" ht="15.6">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5.6">
      <c r="A103" s="606" t="s">
        <v>569</v>
      </c>
      <c r="B103" s="607"/>
      <c r="C103" s="607"/>
      <c r="D103" s="607"/>
      <c r="E103" s="607"/>
      <c r="F103" s="607"/>
      <c r="G103" s="607"/>
      <c r="H103" s="607"/>
      <c r="I103" s="607"/>
      <c r="J103" s="607"/>
      <c r="K103" s="607"/>
      <c r="L103" s="607"/>
      <c r="M103" s="607"/>
      <c r="N103" s="607"/>
    </row>
    <row r="104" spans="1:14" ht="15.6">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1.1861999999999999</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5.6">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5.6">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283" customWidth="1"/>
    <col min="2" max="2" width="12.44140625" style="1283" customWidth="1"/>
    <col min="3" max="3" width="12.109375" style="1283" customWidth="1"/>
    <col min="4" max="4" width="14.109375" style="1283" customWidth="1"/>
    <col min="5" max="5" width="12.44140625" style="1283" customWidth="1"/>
    <col min="6" max="16384" width="9" style="1283"/>
  </cols>
  <sheetData>
    <row r="1" spans="1:16" ht="21.6">
      <c r="A1" s="1459" t="s">
        <v>2579</v>
      </c>
      <c r="B1" s="1718"/>
      <c r="C1" s="1718"/>
      <c r="D1" s="1718"/>
      <c r="E1" s="1718"/>
      <c r="F1" s="2179"/>
      <c r="G1" s="2179"/>
      <c r="H1" s="2179"/>
      <c r="I1" s="2179"/>
      <c r="J1" s="2179"/>
      <c r="K1" s="2179"/>
      <c r="L1" s="2179"/>
      <c r="M1" s="2179"/>
      <c r="N1" s="2179"/>
      <c r="O1" s="2179"/>
      <c r="P1" s="2179"/>
    </row>
    <row r="2" spans="1:16" ht="15.6">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6">
      <c r="A3" s="1716" t="s">
        <v>2574</v>
      </c>
      <c r="B3" s="2020" t="e">
        <f ca="1">ROUND(B2*10000/E2,0)</f>
        <v>#DIV/0!</v>
      </c>
      <c r="C3" s="1716" t="s">
        <v>2580</v>
      </c>
      <c r="D3" s="2179"/>
      <c r="E3" s="2179"/>
      <c r="F3" s="2179"/>
      <c r="G3" s="2179"/>
      <c r="H3" s="2179"/>
      <c r="I3" s="2179"/>
      <c r="J3" s="2179"/>
      <c r="K3" s="2179"/>
      <c r="L3" s="2179"/>
      <c r="M3" s="2179"/>
      <c r="N3" s="2179"/>
      <c r="O3" s="2179"/>
      <c r="P3" s="2179"/>
    </row>
    <row r="4" spans="1:16" ht="15.6">
      <c r="A4" s="2180"/>
      <c r="B4" s="2179"/>
      <c r="C4" s="2179"/>
      <c r="D4" s="2179"/>
      <c r="E4" s="2179"/>
      <c r="F4" s="2179"/>
      <c r="G4" s="2179"/>
      <c r="H4" s="2179"/>
      <c r="I4" s="2179"/>
      <c r="J4" s="2179"/>
      <c r="K4" s="2179"/>
      <c r="L4" s="2179"/>
      <c r="M4" s="2179"/>
      <c r="N4" s="2179"/>
      <c r="O4" s="2179"/>
      <c r="P4" s="2179"/>
    </row>
    <row r="5" spans="1:16" ht="31.2">
      <c r="A5" s="2026" t="s">
        <v>2575</v>
      </c>
      <c r="B5" s="2028" t="s">
        <v>2576</v>
      </c>
      <c r="C5" s="1717"/>
      <c r="D5" s="2179"/>
      <c r="E5" s="2029" t="s">
        <v>2577</v>
      </c>
      <c r="F5" s="2179"/>
      <c r="G5" s="2179"/>
      <c r="H5" s="2179"/>
      <c r="I5" s="2179"/>
      <c r="J5" s="2179"/>
      <c r="K5" s="2179"/>
      <c r="L5" s="2179"/>
      <c r="M5" s="2179"/>
      <c r="N5" s="2179"/>
      <c r="O5" s="2179"/>
      <c r="P5" s="2179"/>
    </row>
    <row r="6" spans="1:16" ht="15.6">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6">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6">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6">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6">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6">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6">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6">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98" customWidth="1"/>
    <col min="2" max="2" width="37.21875" style="1298" customWidth="1"/>
    <col min="3" max="3" width="11.33203125" style="1298" customWidth="1"/>
    <col min="4" max="4" width="31.77734375" style="1298" customWidth="1"/>
    <col min="5" max="5" width="0.44140625" style="1298" customWidth="1"/>
    <col min="6" max="7" width="13" style="1298" customWidth="1"/>
    <col min="8" max="16384" width="9" style="1298"/>
  </cols>
  <sheetData>
    <row r="1" spans="1:5" ht="17.399999999999999">
      <c r="A1" s="1296" t="s">
        <v>1345</v>
      </c>
      <c r="B1" s="1297"/>
      <c r="C1" s="1297"/>
      <c r="D1" s="1297"/>
      <c r="E1" s="1297"/>
    </row>
    <row r="2" spans="1:5" ht="78" customHeight="1">
      <c r="A2" s="36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2"/>
      <c r="C2" s="3622"/>
      <c r="D2" s="3622"/>
      <c r="E2" s="3622"/>
    </row>
    <row r="3" spans="1:5" ht="17.399999999999999">
      <c r="A3" s="3623" t="str">
        <f>IF(项目基本情况!B9="房地产市场价值","估价结果一览表（市场价值不需“结果表-1”）","估价结果一览表")</f>
        <v>估价结果一览表</v>
      </c>
      <c r="B3" s="3623"/>
      <c r="C3" s="3623"/>
      <c r="D3" s="3623"/>
      <c r="E3" s="3623"/>
    </row>
    <row r="4" spans="1:5" ht="18" thickBot="1">
      <c r="A4" s="1299"/>
      <c r="B4" s="3621" t="s">
        <v>1354</v>
      </c>
      <c r="C4" s="3621"/>
      <c r="D4" s="3621"/>
      <c r="E4" s="1299"/>
    </row>
    <row r="5" spans="1:5" ht="16.2" thickTop="1">
      <c r="A5" s="1297"/>
      <c r="B5" s="3619" t="s">
        <v>1346</v>
      </c>
      <c r="C5" s="1300" t="s">
        <v>1347</v>
      </c>
      <c r="D5" s="710">
        <f ca="1">结果表!H101</f>
        <v>486665</v>
      </c>
      <c r="E5" s="1297"/>
    </row>
    <row r="6" spans="1:5" ht="31.2">
      <c r="A6" s="1297"/>
      <c r="B6" s="3619"/>
      <c r="C6" s="1300" t="s">
        <v>1348</v>
      </c>
      <c r="D6" s="710" t="str">
        <f ca="1">NUMBERSTRING(INT(D5*10000),2)&amp;"元整"</f>
        <v>肆拾捌亿陆仟陆佰陆拾伍万元整</v>
      </c>
      <c r="E6" s="1297"/>
    </row>
    <row r="7" spans="1:5" ht="15.6">
      <c r="A7" s="1297"/>
      <c r="B7" s="3624"/>
      <c r="C7" s="1301" t="s">
        <v>1349</v>
      </c>
      <c r="D7" s="711">
        <f ca="1">结果表!H102</f>
        <v>39890</v>
      </c>
      <c r="E7" s="1297"/>
    </row>
    <row r="8" spans="1:5" ht="15.6">
      <c r="A8" s="1297"/>
      <c r="B8" s="3625" t="str">
        <f>结果表!E103</f>
        <v>2.估价师知悉的法定优先受偿款</v>
      </c>
      <c r="C8" s="1302" t="s">
        <v>1350</v>
      </c>
      <c r="D8" s="711">
        <f>结果表!H103</f>
        <v>0</v>
      </c>
      <c r="E8" s="1297"/>
    </row>
    <row r="9" spans="1:5" ht="15.6">
      <c r="A9" s="1297"/>
      <c r="B9" s="3627"/>
      <c r="C9" s="1300" t="s">
        <v>1348</v>
      </c>
      <c r="D9" s="710" t="str">
        <f>NUMBERSTRING(INT(D8*10000),2)&amp;"元整"</f>
        <v>零元整</v>
      </c>
      <c r="E9" s="1297"/>
    </row>
    <row r="10" spans="1:5" ht="15.6">
      <c r="A10" s="1297"/>
      <c r="B10" s="1303" t="s">
        <v>1353</v>
      </c>
      <c r="C10" s="1304" t="s">
        <v>1351</v>
      </c>
      <c r="D10" s="712">
        <f>结果表!H104</f>
        <v>0</v>
      </c>
      <c r="E10" s="1297"/>
    </row>
    <row r="11" spans="1:5" ht="15.6">
      <c r="A11" s="1297"/>
      <c r="B11" s="1303" t="s">
        <v>1355</v>
      </c>
      <c r="C11" s="1304" t="s">
        <v>1356</v>
      </c>
      <c r="D11" s="712">
        <f>结果表!H105</f>
        <v>0</v>
      </c>
      <c r="E11" s="1297"/>
    </row>
    <row r="12" spans="1:5" ht="15.6">
      <c r="A12" s="1297"/>
      <c r="B12" s="1303" t="s">
        <v>1357</v>
      </c>
      <c r="C12" s="1304" t="s">
        <v>1356</v>
      </c>
      <c r="D12" s="712">
        <f>结果表!H106</f>
        <v>0</v>
      </c>
      <c r="E12" s="1297"/>
    </row>
    <row r="13" spans="1:5" ht="15.6">
      <c r="A13" s="1297"/>
      <c r="B13" s="3618" t="str">
        <f>结果表!E107</f>
        <v>3.房地产抵押价值</v>
      </c>
      <c r="C13" s="1305" t="s">
        <v>1347</v>
      </c>
      <c r="D13" s="713">
        <f ca="1">结果表!H107</f>
        <v>486665</v>
      </c>
      <c r="E13" s="1297"/>
    </row>
    <row r="14" spans="1:5" ht="31.2">
      <c r="A14" s="1297"/>
      <c r="B14" s="3619"/>
      <c r="C14" s="1300" t="s">
        <v>1348</v>
      </c>
      <c r="D14" s="710" t="str">
        <f ca="1">NUMBERSTRING(INT(D13*10000),2)&amp;"元整"</f>
        <v>肆拾捌亿陆仟陆佰陆拾伍万元整</v>
      </c>
      <c r="E14" s="1297"/>
    </row>
    <row r="15" spans="1:5" ht="15.6">
      <c r="A15" s="1297"/>
      <c r="B15" s="3624"/>
      <c r="C15" s="1301" t="s">
        <v>1358</v>
      </c>
      <c r="D15" s="716">
        <f ca="1">结果表!H108</f>
        <v>39890</v>
      </c>
      <c r="E15" s="1297"/>
    </row>
    <row r="16" spans="1:5" ht="15.6">
      <c r="A16" s="1297"/>
      <c r="B16" s="3625" t="str">
        <f>结果表!E109</f>
        <v>——</v>
      </c>
      <c r="C16" s="1305" t="s">
        <v>1359</v>
      </c>
      <c r="D16" s="1306" t="str">
        <f>结果表!H109</f>
        <v>——</v>
      </c>
      <c r="E16" s="1297"/>
    </row>
    <row r="17" spans="1:5" ht="15.6">
      <c r="A17" s="1297"/>
      <c r="B17" s="3626"/>
      <c r="C17" s="1300" t="s">
        <v>1360</v>
      </c>
      <c r="D17" s="710" t="e">
        <f>NUMBERSTRING(INT(D16*10000),2)&amp;"元整"</f>
        <v>#VALUE!</v>
      </c>
      <c r="E17" s="1297"/>
    </row>
    <row r="18" spans="1:5" ht="15.6">
      <c r="A18" s="1297"/>
      <c r="B18" s="3627"/>
      <c r="C18" s="1301" t="s">
        <v>1349</v>
      </c>
      <c r="D18" s="716" t="str">
        <f>结果表!H110</f>
        <v>——</v>
      </c>
      <c r="E18" s="1297"/>
    </row>
    <row r="19" spans="1:5" ht="15.6">
      <c r="A19" s="1297"/>
      <c r="B19" s="3618" t="str">
        <f>结果表!E111</f>
        <v>——</v>
      </c>
      <c r="C19" s="1305" t="s">
        <v>1347</v>
      </c>
      <c r="D19" s="711" t="str">
        <f>结果表!H111</f>
        <v>——</v>
      </c>
      <c r="E19" s="1297"/>
    </row>
    <row r="20" spans="1:5" ht="15.6">
      <c r="A20" s="1297"/>
      <c r="B20" s="3619"/>
      <c r="C20" s="1300" t="s">
        <v>1360</v>
      </c>
      <c r="D20" s="710" t="e">
        <f>NUMBERSTRING(INT(D19*10000),2)&amp;"元整"</f>
        <v>#VALUE!</v>
      </c>
      <c r="E20" s="1297"/>
    </row>
    <row r="21" spans="1:5" ht="16.2" thickBot="1">
      <c r="A21" s="1297"/>
      <c r="B21" s="3620"/>
      <c r="C21" s="1307" t="s">
        <v>1358</v>
      </c>
      <c r="D21" s="717" t="str">
        <f>结果表!H112</f>
        <v>——</v>
      </c>
      <c r="E21" s="1297"/>
    </row>
    <row r="22" spans="1:5" ht="14.4" thickTop="1">
      <c r="A22" s="1297"/>
      <c r="B22" s="1308" t="s">
        <v>1361</v>
      </c>
      <c r="C22" s="1297"/>
      <c r="D22" s="1297"/>
      <c r="E22" s="1297"/>
    </row>
    <row r="23" spans="1:5">
      <c r="A23" s="1297"/>
      <c r="B23" s="1297"/>
      <c r="C23" s="1297"/>
      <c r="D23" s="1297"/>
      <c r="E23" s="1297"/>
    </row>
    <row r="24" spans="1:5" ht="17.399999999999999">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5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4" t="s">
        <v>2582</v>
      </c>
      <c r="D1" s="4005"/>
      <c r="E1" s="4005"/>
      <c r="F1" s="4005"/>
      <c r="G1" s="4005"/>
      <c r="H1" s="4005"/>
      <c r="I1" s="4005"/>
      <c r="J1" s="4005"/>
      <c r="K1" s="4005"/>
      <c r="L1" s="4005"/>
      <c r="M1" s="4005"/>
      <c r="N1" s="4005"/>
      <c r="O1" s="4005"/>
      <c r="P1" s="4005"/>
      <c r="Q1" s="4005"/>
      <c r="R1" s="4005"/>
      <c r="S1" s="4006"/>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8"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8"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8"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8"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8"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8"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8"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8"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2"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6">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4001" t="s">
        <v>33</v>
      </c>
      <c r="D22" s="4002"/>
      <c r="E22" s="4002"/>
      <c r="F22" s="4002"/>
      <c r="G22" s="4002"/>
      <c r="H22" s="4002"/>
      <c r="I22" s="4002"/>
      <c r="J22" s="4002"/>
      <c r="K22" s="4002"/>
      <c r="L22" s="4002"/>
      <c r="M22" s="4002"/>
      <c r="N22" s="4002"/>
      <c r="O22" s="4002"/>
      <c r="P22" s="4002"/>
      <c r="Q22" s="4003"/>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83</v>
      </c>
      <c r="B1" s="69"/>
      <c r="C1" s="70"/>
      <c r="D1" s="70"/>
      <c r="E1" s="70"/>
      <c r="F1" s="70"/>
      <c r="G1" s="71"/>
    </row>
    <row r="2" spans="1:7" s="72" customFormat="1" ht="18" customHeight="1">
      <c r="A2" s="73" t="s">
        <v>84</v>
      </c>
      <c r="B2" s="74">
        <f ca="1">C52</f>
        <v>57837</v>
      </c>
      <c r="C2" s="2" t="s">
        <v>133</v>
      </c>
      <c r="D2" s="71"/>
      <c r="E2" s="71"/>
      <c r="F2" s="71"/>
      <c r="G2" s="71"/>
    </row>
    <row r="3" spans="1:7" s="72" customFormat="1" ht="18" customHeight="1" thickBot="1">
      <c r="A3" s="75" t="s">
        <v>85</v>
      </c>
      <c r="B3" s="76">
        <f ca="1">ROUND(B2*10000/'数据-汇总表'!E3,0)</f>
        <v>4741</v>
      </c>
      <c r="C3" s="2" t="s">
        <v>134</v>
      </c>
      <c r="D3" s="71"/>
      <c r="E3" s="71"/>
      <c r="F3" s="71"/>
      <c r="G3" s="71"/>
    </row>
    <row r="4" spans="1:7" s="80" customFormat="1" ht="16.2">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1171</v>
      </c>
      <c r="D9" s="706">
        <f>'数据-汇总表'!E5</f>
        <v>73162.550000000017</v>
      </c>
      <c r="E9" s="97">
        <f>'数据-取费表'!B27</f>
        <v>160</v>
      </c>
      <c r="F9" s="93"/>
      <c r="G9" s="98"/>
    </row>
    <row r="10" spans="1:7" s="86" customFormat="1" ht="13.5" customHeight="1">
      <c r="A10" s="657" t="s">
        <v>620</v>
      </c>
      <c r="B10" s="96" t="s">
        <v>94</v>
      </c>
      <c r="C10" s="97">
        <f>ROUND(D10*E10/10000,0)</f>
        <v>977</v>
      </c>
      <c r="D10" s="706">
        <f>'数据-汇总表'!E6</f>
        <v>48840.219999999987</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2440</v>
      </c>
      <c r="D19" s="709">
        <f>'数据-汇总表'!E3</f>
        <v>122002.77</v>
      </c>
      <c r="E19" s="83">
        <f>'数据-取费表'!B31</f>
        <v>200</v>
      </c>
      <c r="F19" s="103"/>
      <c r="G19" s="1" t="s">
        <v>861</v>
      </c>
    </row>
    <row r="20" spans="1:7" s="86" customFormat="1" ht="13.5" customHeight="1">
      <c r="A20" s="655" t="s">
        <v>844</v>
      </c>
      <c r="B20" s="82" t="s">
        <v>104</v>
      </c>
      <c r="C20" s="104">
        <f>ROUND((C5+C19)*F20,0)</f>
        <v>461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918</v>
      </c>
      <c r="D22" s="107">
        <f ca="1">C26</f>
        <v>4.0000000000000002E-4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813</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96</v>
      </c>
      <c r="D24" s="110"/>
      <c r="E24" s="110"/>
      <c r="F24" s="111"/>
      <c r="G24" s="112" t="s">
        <v>109</v>
      </c>
    </row>
    <row r="25" spans="1:7" s="86" customFormat="1" ht="24">
      <c r="A25" s="658" t="s">
        <v>612</v>
      </c>
      <c r="B25" s="87" t="s">
        <v>845</v>
      </c>
      <c r="C25" s="931">
        <f ca="1">ROUND(IF('数据-取费表'!B22&lt;=1,C20*F22*'数据-取费表'!B23/2,C20*(POWER((1+F22),'数据-取费表'!B23/2)-1)),0)</f>
        <v>9</v>
      </c>
      <c r="D25" s="110"/>
      <c r="E25" s="113"/>
      <c r="F25" s="111"/>
      <c r="G25" s="114" t="s">
        <v>110</v>
      </c>
    </row>
    <row r="26" spans="1:7" s="86" customFormat="1">
      <c r="A26" s="658" t="s">
        <v>614</v>
      </c>
      <c r="B26" s="87" t="s">
        <v>847</v>
      </c>
      <c r="C26" s="110">
        <f ca="1">ROUND(IF('数据-取费表'!B22&lt;=1,F21*F22*'数据-取费表'!B23/2,F21*(POWER((1+F22),'数据-取费表'!B23/2)-1)),4)</f>
        <v>4.0000000000000002E-4</v>
      </c>
      <c r="D26" s="110"/>
      <c r="E26" s="113"/>
      <c r="F26" s="111"/>
      <c r="G26" s="115"/>
    </row>
    <row r="27" spans="1:7" s="86" customFormat="1" ht="26.4">
      <c r="A27" s="655" t="s">
        <v>606</v>
      </c>
      <c r="B27" s="116" t="s">
        <v>112</v>
      </c>
      <c r="C27" s="117">
        <f>C28</f>
        <v>1216</v>
      </c>
      <c r="D27" s="107">
        <f>C29</f>
        <v>1E-3</v>
      </c>
      <c r="E27" s="108" t="s">
        <v>126</v>
      </c>
      <c r="F27" s="118">
        <f>'数据-取费表'!Q16</f>
        <v>0.11</v>
      </c>
      <c r="G27" s="119" t="s">
        <v>856</v>
      </c>
    </row>
    <row r="28" spans="1:7" s="86" customFormat="1" ht="13.5" customHeight="1">
      <c r="A28" s="658" t="s">
        <v>613</v>
      </c>
      <c r="B28" s="120" t="s">
        <v>849</v>
      </c>
      <c r="C28" s="121">
        <f>ROUND((C5+C19+C20)*F27*'数据-取费表'!B21/'数据-取费表'!B20,0)</f>
        <v>1216</v>
      </c>
      <c r="D28" s="107"/>
      <c r="E28" s="108"/>
      <c r="F28" s="118"/>
      <c r="G28" s="119"/>
    </row>
    <row r="29" spans="1:7" s="86" customFormat="1" ht="13.5" customHeight="1">
      <c r="A29" s="658" t="s">
        <v>611</v>
      </c>
      <c r="B29" s="120" t="s">
        <v>850</v>
      </c>
      <c r="C29" s="110">
        <f>ROUND(C21*F27*'数据-取费表'!B21/'数据-取费表'!B20,4)</f>
        <v>1E-3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27716</v>
      </c>
      <c r="D31" s="102"/>
      <c r="E31" s="83"/>
      <c r="F31" s="122"/>
      <c r="G31" s="106" t="s">
        <v>857</v>
      </c>
    </row>
    <row r="32" spans="1:7" s="80" customFormat="1" ht="16.2">
      <c r="A32" s="124" t="s">
        <v>114</v>
      </c>
      <c r="B32" s="125"/>
      <c r="C32" s="125"/>
      <c r="D32" s="125"/>
      <c r="E32" s="125"/>
      <c r="F32" s="125"/>
      <c r="G32" s="126"/>
    </row>
    <row r="33" spans="1:7" s="86" customFormat="1" ht="13.5" customHeight="1">
      <c r="A33" s="127" t="s">
        <v>601</v>
      </c>
      <c r="B33" s="82" t="s">
        <v>115</v>
      </c>
      <c r="C33" s="128">
        <f>SUM(C34:C38)</f>
        <v>24159</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21617</v>
      </c>
      <c r="D34" s="89"/>
      <c r="E34" s="92"/>
      <c r="F34" s="129">
        <f>IF('数据-取费表'!B24=0,1,'数据-取费表'!N16)</f>
        <v>0.47</v>
      </c>
      <c r="G34" s="91" t="s">
        <v>116</v>
      </c>
    </row>
    <row r="35" spans="1:7" ht="13.5" customHeight="1">
      <c r="A35" s="658" t="s">
        <v>615</v>
      </c>
      <c r="B35" s="87" t="s">
        <v>60</v>
      </c>
      <c r="C35" s="92">
        <f>ROUND(C34*F35,0)</f>
        <v>649</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422</v>
      </c>
      <c r="D36" s="92"/>
      <c r="E36" s="92"/>
      <c r="F36" s="131">
        <f>'数据-取费表'!B34</f>
        <v>0.03</v>
      </c>
      <c r="G36" s="132" t="s">
        <v>62</v>
      </c>
    </row>
    <row r="37" spans="1:7" s="130" customFormat="1" ht="13.5" customHeight="1">
      <c r="A37" s="658" t="s">
        <v>617</v>
      </c>
      <c r="B37" s="87" t="s">
        <v>118</v>
      </c>
      <c r="C37" s="121">
        <f>ROUND(E37*D37*F34/10000,0)</f>
        <v>1147</v>
      </c>
      <c r="D37" s="89">
        <f>'数据-汇总表'!E3</f>
        <v>122002.77</v>
      </c>
      <c r="E37" s="121">
        <f>'数据-取费表'!B35</f>
        <v>200</v>
      </c>
      <c r="F37" s="131"/>
      <c r="G37" s="133" t="s">
        <v>119</v>
      </c>
    </row>
    <row r="38" spans="1:7" ht="13.5" customHeight="1">
      <c r="A38" s="658" t="s">
        <v>618</v>
      </c>
      <c r="B38" s="87" t="s">
        <v>63</v>
      </c>
      <c r="C38" s="92">
        <f>ROUND(C34*F38,0)</f>
        <v>324</v>
      </c>
      <c r="D38" s="92"/>
      <c r="E38" s="92"/>
      <c r="F38" s="131">
        <f>'数据-取费表'!B36</f>
        <v>1.4999999999999999E-2</v>
      </c>
      <c r="G38" s="91" t="s">
        <v>117</v>
      </c>
    </row>
    <row r="39" spans="1:7" s="86" customFormat="1" ht="13.5" customHeight="1">
      <c r="A39" s="655" t="s">
        <v>602</v>
      </c>
      <c r="B39" s="82" t="s">
        <v>104</v>
      </c>
      <c r="C39" s="104">
        <f>ROUND(C33*F20,0)</f>
        <v>483</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481</v>
      </c>
      <c r="D41" s="107">
        <f ca="1">C44</f>
        <v>4.0000000000000002E-4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472</v>
      </c>
      <c r="D42" s="110"/>
      <c r="E42" s="110"/>
      <c r="F42" s="111"/>
      <c r="G42" s="3846" t="s">
        <v>121</v>
      </c>
    </row>
    <row r="43" spans="1:7" ht="13.5" customHeight="1">
      <c r="A43" s="658" t="s">
        <v>611</v>
      </c>
      <c r="B43" s="87" t="s">
        <v>851</v>
      </c>
      <c r="C43" s="110">
        <f ca="1">ROUND(IF('数据-取费表'!B22&lt;=1,C39*F22*'数据-取费表'!B21/2,C39*(POWER((1+F22),'数据-取费表'!B21/2)-1)),0)</f>
        <v>9</v>
      </c>
      <c r="D43" s="110"/>
      <c r="E43" s="110"/>
      <c r="F43" s="111"/>
      <c r="G43" s="3847"/>
    </row>
    <row r="44" spans="1:7" ht="13.5" customHeight="1">
      <c r="A44" s="658" t="s">
        <v>612</v>
      </c>
      <c r="B44" s="87" t="s">
        <v>853</v>
      </c>
      <c r="C44" s="110">
        <f ca="1">ROUND(IF('数据-取费表'!B22&lt;=1,C40*F22*'数据-取费表'!B21/2,C40*(POWER((1+F22),'数据-取费表'!B21/2)-1)),4)</f>
        <v>4.0000000000000002E-4</v>
      </c>
      <c r="D44" s="110"/>
      <c r="E44" s="110"/>
      <c r="F44" s="111"/>
      <c r="G44" s="3848"/>
    </row>
    <row r="45" spans="1:7" s="86" customFormat="1" ht="13.5" customHeight="1">
      <c r="A45" s="655" t="s">
        <v>605</v>
      </c>
      <c r="B45" s="116" t="s">
        <v>112</v>
      </c>
      <c r="C45" s="117">
        <f>C46</f>
        <v>2711</v>
      </c>
      <c r="D45" s="107">
        <f>C47</f>
        <v>2.2000000000000001E-3</v>
      </c>
      <c r="E45" s="108" t="s">
        <v>129</v>
      </c>
      <c r="F45" s="118"/>
      <c r="G45" s="119" t="s">
        <v>859</v>
      </c>
    </row>
    <row r="46" spans="1:7" s="86" customFormat="1" ht="13.5" customHeight="1">
      <c r="A46" s="658" t="s">
        <v>613</v>
      </c>
      <c r="B46" s="120" t="s">
        <v>852</v>
      </c>
      <c r="C46" s="121">
        <f>ROUND((C33+C39)*F27,0)</f>
        <v>2711</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30121</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30121</v>
      </c>
      <c r="D51" s="104"/>
      <c r="E51" s="104"/>
      <c r="F51" s="136"/>
      <c r="G51" s="106" t="s">
        <v>64</v>
      </c>
    </row>
    <row r="52" spans="1:7" s="80" customFormat="1" ht="16.8" thickBot="1">
      <c r="A52" s="137" t="s">
        <v>65</v>
      </c>
      <c r="B52" s="138"/>
      <c r="C52" s="139">
        <f ca="1">C31+C51</f>
        <v>57837</v>
      </c>
      <c r="D52" s="138"/>
      <c r="E52" s="138"/>
      <c r="F52" s="138"/>
      <c r="G52" s="140"/>
    </row>
    <row r="55" spans="1:7" ht="15">
      <c r="B55" s="142" t="s">
        <v>66</v>
      </c>
      <c r="C55" s="143"/>
    </row>
    <row r="56" spans="1:7">
      <c r="B56" s="145" t="s">
        <v>67</v>
      </c>
      <c r="C56" s="146">
        <f ca="1">ROUND(C51/C52,3)</f>
        <v>0.52100000000000002</v>
      </c>
    </row>
    <row r="57" spans="1:7">
      <c r="B57" s="145" t="s">
        <v>68</v>
      </c>
      <c r="C57" s="147">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583" customWidth="1"/>
    <col min="2" max="5" width="10.21875" style="541" customWidth="1"/>
    <col min="6" max="6" width="9" style="541"/>
    <col min="7" max="8" width="9" style="556"/>
    <col min="9" max="16384" width="9" style="541"/>
  </cols>
  <sheetData>
    <row r="1" spans="1:19">
      <c r="A1" s="4007" t="s">
        <v>156</v>
      </c>
      <c r="B1" s="4007"/>
      <c r="C1" s="4007"/>
      <c r="D1" s="4007"/>
      <c r="E1" s="4007"/>
      <c r="F1" s="4007"/>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5" thickBot="1">
      <c r="A2" s="4008" t="s">
        <v>169</v>
      </c>
      <c r="B2" s="4008"/>
      <c r="C2" s="4008"/>
      <c r="D2" s="4008"/>
      <c r="E2" s="4008"/>
      <c r="F2" s="4008"/>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09"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10"/>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583" customWidth="1"/>
    <col min="2" max="2" width="10.21875" style="541" customWidth="1"/>
  </cols>
  <sheetData>
    <row r="1" spans="1:6">
      <c r="A1" s="4007" t="s">
        <v>658</v>
      </c>
      <c r="B1" s="4007"/>
    </row>
    <row r="2" spans="1:6" ht="15" thickBot="1">
      <c r="A2" s="719"/>
      <c r="B2" s="719"/>
    </row>
    <row r="3" spans="1:6" ht="15" thickBot="1">
      <c r="A3" s="719"/>
      <c r="B3" s="719"/>
      <c r="C3" s="722" t="s">
        <v>661</v>
      </c>
      <c r="D3" s="722" t="s">
        <v>662</v>
      </c>
      <c r="E3" s="722" t="s">
        <v>663</v>
      </c>
      <c r="F3" s="722" t="s">
        <v>664</v>
      </c>
    </row>
    <row r="4" spans="1:6" ht="15" thickBot="1">
      <c r="A4" s="720" t="s">
        <v>659</v>
      </c>
      <c r="B4" s="721" t="s">
        <v>660</v>
      </c>
      <c r="C4" s="722"/>
      <c r="D4" s="722"/>
      <c r="E4" s="722"/>
      <c r="F4" s="722"/>
    </row>
    <row r="5" spans="1:6" ht="15" thickBot="1">
      <c r="A5" s="568" t="s">
        <v>665</v>
      </c>
      <c r="B5" s="569" t="s">
        <v>666</v>
      </c>
      <c r="C5" s="723">
        <v>8.8999999999999996E-2</v>
      </c>
      <c r="D5" s="723">
        <v>7.3999999999999996E-2</v>
      </c>
      <c r="E5" s="723">
        <v>7.4999999999999997E-2</v>
      </c>
      <c r="F5" s="724">
        <v>0.1</v>
      </c>
    </row>
    <row r="6" spans="1:6" ht="15" thickBot="1">
      <c r="A6" s="568" t="s">
        <v>211</v>
      </c>
      <c r="B6" s="562" t="s">
        <v>667</v>
      </c>
      <c r="C6" s="725">
        <v>0.1</v>
      </c>
      <c r="D6" s="725">
        <v>9.0999999999999998E-2</v>
      </c>
      <c r="E6" s="725">
        <v>9.0999999999999998E-2</v>
      </c>
      <c r="F6" s="726">
        <v>0.1</v>
      </c>
    </row>
    <row r="7" spans="1:6" ht="15" thickBot="1">
      <c r="A7" s="568" t="s">
        <v>211</v>
      </c>
      <c r="B7" s="572" t="s">
        <v>200</v>
      </c>
      <c r="C7" s="725">
        <v>8.5999999999999993E-2</v>
      </c>
      <c r="D7" s="725">
        <v>9.6000000000000002E-2</v>
      </c>
      <c r="E7" s="725">
        <v>7.5999999999999998E-2</v>
      </c>
      <c r="F7" s="726">
        <v>0.1</v>
      </c>
    </row>
    <row r="8" spans="1:6" ht="15" thickBot="1">
      <c r="A8" s="568" t="s">
        <v>211</v>
      </c>
      <c r="B8" s="562" t="s">
        <v>212</v>
      </c>
      <c r="C8" s="725">
        <v>9.9000000000000005E-2</v>
      </c>
      <c r="D8" s="725">
        <v>9.8000000000000004E-2</v>
      </c>
      <c r="E8" s="725">
        <v>9.8000000000000004E-2</v>
      </c>
      <c r="F8" s="726">
        <v>0.1</v>
      </c>
    </row>
    <row r="9" spans="1:6" ht="15" thickBot="1">
      <c r="A9" s="578" t="s">
        <v>211</v>
      </c>
      <c r="B9" s="573" t="s">
        <v>224</v>
      </c>
      <c r="C9" s="727">
        <v>0.05</v>
      </c>
      <c r="D9" s="735"/>
      <c r="E9" s="735"/>
      <c r="F9" s="736"/>
    </row>
    <row r="10" spans="1:6" ht="15" thickBot="1">
      <c r="A10" s="568" t="s">
        <v>268</v>
      </c>
      <c r="B10" s="569" t="s">
        <v>668</v>
      </c>
      <c r="C10" s="723">
        <v>8.8999999999999996E-2</v>
      </c>
      <c r="D10" s="723">
        <v>7.2999999999999995E-2</v>
      </c>
      <c r="E10" s="723">
        <v>8.2000000000000003E-2</v>
      </c>
      <c r="F10" s="724">
        <v>0.1</v>
      </c>
    </row>
    <row r="11" spans="1:6" ht="15" thickBot="1">
      <c r="A11" s="568" t="s">
        <v>268</v>
      </c>
      <c r="B11" s="572" t="s">
        <v>187</v>
      </c>
      <c r="C11" s="725">
        <v>8.8999999999999996E-2</v>
      </c>
      <c r="D11" s="725">
        <v>7.2999999999999995E-2</v>
      </c>
      <c r="E11" s="725">
        <v>8.2000000000000003E-2</v>
      </c>
      <c r="F11" s="726">
        <v>0.1</v>
      </c>
    </row>
    <row r="12" spans="1:6" ht="15" thickBot="1">
      <c r="A12" s="568" t="s">
        <v>268</v>
      </c>
      <c r="B12" s="572" t="s">
        <v>138</v>
      </c>
      <c r="C12" s="725">
        <v>6.0999999999999999E-2</v>
      </c>
      <c r="D12" s="725">
        <v>7.0999999999999994E-2</v>
      </c>
      <c r="E12" s="725">
        <v>9.6000000000000002E-2</v>
      </c>
      <c r="F12" s="726">
        <v>0.1</v>
      </c>
    </row>
    <row r="13" spans="1:6" ht="15" thickBot="1">
      <c r="A13" s="568" t="s">
        <v>268</v>
      </c>
      <c r="B13" s="572" t="s">
        <v>213</v>
      </c>
      <c r="C13" s="725">
        <v>6.9000000000000006E-2</v>
      </c>
      <c r="D13" s="725">
        <v>6.5000000000000002E-2</v>
      </c>
      <c r="E13" s="725">
        <v>6.6000000000000003E-2</v>
      </c>
      <c r="F13" s="726">
        <v>0.1</v>
      </c>
    </row>
    <row r="14" spans="1:6" ht="15" thickBot="1">
      <c r="A14" s="568" t="s">
        <v>268</v>
      </c>
      <c r="B14" s="572" t="s">
        <v>225</v>
      </c>
      <c r="C14" s="725">
        <v>0.1</v>
      </c>
      <c r="D14" s="725">
        <v>6.5000000000000002E-2</v>
      </c>
      <c r="E14" s="725">
        <v>7.0000000000000007E-2</v>
      </c>
      <c r="F14" s="726">
        <v>0.1</v>
      </c>
    </row>
    <row r="15" spans="1:6" ht="15" thickBot="1">
      <c r="A15" s="568" t="s">
        <v>268</v>
      </c>
      <c r="B15" s="572" t="s">
        <v>236</v>
      </c>
      <c r="C15" s="725">
        <v>9.8000000000000004E-2</v>
      </c>
      <c r="D15" s="725">
        <v>8.8999999999999996E-2</v>
      </c>
      <c r="E15" s="725">
        <v>8.8999999999999996E-2</v>
      </c>
      <c r="F15" s="726">
        <v>0.1</v>
      </c>
    </row>
    <row r="16" spans="1:6" ht="15" thickBot="1">
      <c r="A16" s="568" t="s">
        <v>268</v>
      </c>
      <c r="B16" s="572" t="s">
        <v>247</v>
      </c>
      <c r="C16" s="725">
        <v>7.0000000000000007E-2</v>
      </c>
      <c r="D16" s="725">
        <v>9.2999999999999999E-2</v>
      </c>
      <c r="E16" s="725">
        <v>9.6000000000000002E-2</v>
      </c>
      <c r="F16" s="726">
        <v>0.1</v>
      </c>
    </row>
    <row r="17" spans="1:6" ht="15" thickBot="1">
      <c r="A17" s="568" t="s">
        <v>268</v>
      </c>
      <c r="B17" s="572" t="s">
        <v>258</v>
      </c>
      <c r="C17" s="725">
        <v>9.5000000000000001E-2</v>
      </c>
      <c r="D17" s="725">
        <v>0.1</v>
      </c>
      <c r="E17" s="725">
        <v>0.1</v>
      </c>
      <c r="F17" s="737"/>
    </row>
    <row r="18" spans="1:6" ht="15" thickBot="1">
      <c r="A18" s="568" t="s">
        <v>268</v>
      </c>
      <c r="B18" s="572" t="s">
        <v>270</v>
      </c>
      <c r="C18" s="725">
        <v>7.3999999999999996E-2</v>
      </c>
      <c r="D18" s="725">
        <v>9.9000000000000005E-2</v>
      </c>
      <c r="E18" s="725">
        <v>0.1</v>
      </c>
      <c r="F18" s="737"/>
    </row>
    <row r="19" spans="1:6" ht="15" thickBot="1">
      <c r="A19" s="568" t="s">
        <v>268</v>
      </c>
      <c r="B19" s="572" t="s">
        <v>280</v>
      </c>
      <c r="C19" s="725">
        <v>9.9000000000000005E-2</v>
      </c>
      <c r="D19" s="725">
        <v>7.5999999999999998E-2</v>
      </c>
      <c r="E19" s="725">
        <v>8.6999999999999994E-2</v>
      </c>
      <c r="F19" s="737"/>
    </row>
    <row r="20" spans="1:6" ht="15" thickBot="1">
      <c r="A20" s="568" t="s">
        <v>268</v>
      </c>
      <c r="B20" s="572" t="s">
        <v>290</v>
      </c>
      <c r="C20" s="725">
        <v>9.8000000000000004E-2</v>
      </c>
      <c r="D20" s="725">
        <v>8.5000000000000006E-2</v>
      </c>
      <c r="E20" s="725">
        <v>8.2000000000000003E-2</v>
      </c>
      <c r="F20" s="737"/>
    </row>
    <row r="21" spans="1:6" ht="15" thickBot="1">
      <c r="A21" s="568" t="s">
        <v>268</v>
      </c>
      <c r="B21" s="572" t="s">
        <v>300</v>
      </c>
      <c r="C21" s="725">
        <v>6.6000000000000003E-2</v>
      </c>
      <c r="D21" s="725">
        <v>6.4000000000000001E-2</v>
      </c>
      <c r="E21" s="725">
        <v>6.5000000000000002E-2</v>
      </c>
      <c r="F21" s="737"/>
    </row>
    <row r="22" spans="1:6" ht="15" thickBot="1">
      <c r="A22" s="568" t="s">
        <v>268</v>
      </c>
      <c r="B22" s="572" t="s">
        <v>669</v>
      </c>
      <c r="C22" s="725">
        <v>0.08</v>
      </c>
      <c r="D22" s="725">
        <v>9.8000000000000004E-2</v>
      </c>
      <c r="E22" s="725">
        <v>9.8000000000000004E-2</v>
      </c>
      <c r="F22" s="737"/>
    </row>
    <row r="23" spans="1:6" ht="15" thickBot="1">
      <c r="A23" s="568" t="s">
        <v>268</v>
      </c>
      <c r="B23" s="572" t="s">
        <v>321</v>
      </c>
      <c r="C23" s="725">
        <v>9.9000000000000005E-2</v>
      </c>
      <c r="D23" s="725">
        <v>9.8000000000000004E-2</v>
      </c>
      <c r="E23" s="725">
        <v>9.0999999999999998E-2</v>
      </c>
      <c r="F23" s="737"/>
    </row>
    <row r="24" spans="1:6" ht="15" thickBot="1">
      <c r="A24" s="568" t="s">
        <v>268</v>
      </c>
      <c r="B24" s="572" t="s">
        <v>332</v>
      </c>
      <c r="C24" s="725">
        <v>8.8999999999999996E-2</v>
      </c>
      <c r="D24" s="725">
        <v>9.7000000000000003E-2</v>
      </c>
      <c r="E24" s="725">
        <v>7.0000000000000007E-2</v>
      </c>
      <c r="F24" s="737"/>
    </row>
    <row r="25" spans="1:6" ht="15" thickBot="1">
      <c r="A25" s="568" t="s">
        <v>268</v>
      </c>
      <c r="B25" s="572" t="s">
        <v>342</v>
      </c>
      <c r="C25" s="725">
        <v>8.8999999999999996E-2</v>
      </c>
      <c r="D25" s="725">
        <v>0.1</v>
      </c>
      <c r="E25" s="725">
        <v>8.1000000000000003E-2</v>
      </c>
      <c r="F25" s="737"/>
    </row>
    <row r="26" spans="1:6" ht="15" thickBot="1">
      <c r="A26" s="568" t="s">
        <v>268</v>
      </c>
      <c r="B26" s="572" t="s">
        <v>352</v>
      </c>
      <c r="C26" s="738"/>
      <c r="D26" s="725">
        <v>9.6000000000000002E-2</v>
      </c>
      <c r="E26" s="725">
        <v>9.2999999999999999E-2</v>
      </c>
      <c r="F26" s="737"/>
    </row>
    <row r="27" spans="1:6" ht="15" thickBot="1">
      <c r="A27" s="568" t="s">
        <v>268</v>
      </c>
      <c r="B27" s="572" t="s">
        <v>362</v>
      </c>
      <c r="C27" s="738"/>
      <c r="D27" s="725">
        <v>7.5999999999999998E-2</v>
      </c>
      <c r="E27" s="725">
        <v>9.1999999999999998E-2</v>
      </c>
      <c r="F27" s="737"/>
    </row>
    <row r="28" spans="1:6" ht="15" thickBot="1">
      <c r="A28" s="578" t="s">
        <v>268</v>
      </c>
      <c r="B28" s="573" t="s">
        <v>372</v>
      </c>
      <c r="C28" s="735"/>
      <c r="D28" s="727">
        <v>7.5999999999999998E-2</v>
      </c>
      <c r="E28" s="727">
        <v>9.1999999999999998E-2</v>
      </c>
      <c r="F28" s="736"/>
    </row>
    <row r="29" spans="1:6" ht="15" thickBot="1">
      <c r="A29" s="568" t="s">
        <v>441</v>
      </c>
      <c r="B29" s="569" t="s">
        <v>670</v>
      </c>
      <c r="C29" s="723">
        <v>6.4000000000000001E-2</v>
      </c>
      <c r="D29" s="723">
        <v>6.5000000000000002E-2</v>
      </c>
      <c r="E29" s="723">
        <v>6.9000000000000006E-2</v>
      </c>
      <c r="F29" s="724">
        <v>0.1</v>
      </c>
    </row>
    <row r="30" spans="1:6" ht="15" thickBot="1">
      <c r="A30" s="568" t="s">
        <v>441</v>
      </c>
      <c r="B30" s="572" t="s">
        <v>188</v>
      </c>
      <c r="C30" s="725">
        <v>6.4000000000000001E-2</v>
      </c>
      <c r="D30" s="725">
        <v>9.9000000000000005E-2</v>
      </c>
      <c r="E30" s="725">
        <v>0.1</v>
      </c>
      <c r="F30" s="726">
        <v>0.1</v>
      </c>
    </row>
    <row r="31" spans="1:6" ht="15" thickBot="1">
      <c r="A31" s="568" t="s">
        <v>441</v>
      </c>
      <c r="B31" s="572" t="s">
        <v>201</v>
      </c>
      <c r="C31" s="725">
        <v>0.1</v>
      </c>
      <c r="D31" s="725">
        <v>9.5000000000000001E-2</v>
      </c>
      <c r="E31" s="725">
        <v>8.8999999999999996E-2</v>
      </c>
      <c r="F31" s="726">
        <v>0.1</v>
      </c>
    </row>
    <row r="32" spans="1:6" ht="15" thickBot="1">
      <c r="A32" s="568" t="s">
        <v>441</v>
      </c>
      <c r="B32" s="572" t="s">
        <v>214</v>
      </c>
      <c r="C32" s="725">
        <v>0.05</v>
      </c>
      <c r="D32" s="725">
        <v>0.05</v>
      </c>
      <c r="E32" s="725">
        <v>8.7999999999999995E-2</v>
      </c>
      <c r="F32" s="726">
        <v>0.1</v>
      </c>
    </row>
    <row r="33" spans="1:6" ht="15" thickBot="1">
      <c r="A33" s="568" t="s">
        <v>441</v>
      </c>
      <c r="B33" s="572" t="s">
        <v>226</v>
      </c>
      <c r="C33" s="725">
        <v>7.4999999999999997E-2</v>
      </c>
      <c r="D33" s="725">
        <v>9.4E-2</v>
      </c>
      <c r="E33" s="725">
        <v>9.7000000000000003E-2</v>
      </c>
      <c r="F33" s="726">
        <v>0.1</v>
      </c>
    </row>
    <row r="34" spans="1:6" ht="15" thickBot="1">
      <c r="A34" s="568" t="s">
        <v>441</v>
      </c>
      <c r="B34" s="572" t="s">
        <v>237</v>
      </c>
      <c r="C34" s="725">
        <v>9.8000000000000004E-2</v>
      </c>
      <c r="D34" s="725">
        <v>8.5999999999999993E-2</v>
      </c>
      <c r="E34" s="725">
        <v>9.7000000000000003E-2</v>
      </c>
      <c r="F34" s="726">
        <v>0.1</v>
      </c>
    </row>
    <row r="35" spans="1:6" ht="15" thickBot="1">
      <c r="A35" s="568" t="s">
        <v>441</v>
      </c>
      <c r="B35" s="572" t="s">
        <v>248</v>
      </c>
      <c r="C35" s="725">
        <v>5.8999999999999997E-2</v>
      </c>
      <c r="D35" s="725">
        <v>6.5000000000000002E-2</v>
      </c>
      <c r="E35" s="725">
        <v>7.0000000000000007E-2</v>
      </c>
      <c r="F35" s="726">
        <v>0.1</v>
      </c>
    </row>
    <row r="36" spans="1:6" ht="15" thickBot="1">
      <c r="A36" s="568" t="s">
        <v>441</v>
      </c>
      <c r="B36" s="572" t="s">
        <v>259</v>
      </c>
      <c r="C36" s="725">
        <v>6.3E-2</v>
      </c>
      <c r="D36" s="725">
        <v>0.1</v>
      </c>
      <c r="E36" s="725">
        <v>0.1</v>
      </c>
      <c r="F36" s="726">
        <v>0.1</v>
      </c>
    </row>
    <row r="37" spans="1:6" ht="15" thickBot="1">
      <c r="A37" s="568" t="s">
        <v>441</v>
      </c>
      <c r="B37" s="572" t="s">
        <v>271</v>
      </c>
      <c r="C37" s="725">
        <v>7.3999999999999996E-2</v>
      </c>
      <c r="D37" s="725">
        <v>0.1</v>
      </c>
      <c r="E37" s="725">
        <v>0.1</v>
      </c>
      <c r="F37" s="726">
        <v>0.1</v>
      </c>
    </row>
    <row r="38" spans="1:6" ht="15" thickBot="1">
      <c r="A38" s="568" t="s">
        <v>441</v>
      </c>
      <c r="B38" s="572" t="s">
        <v>281</v>
      </c>
      <c r="C38" s="725">
        <v>0.1</v>
      </c>
      <c r="D38" s="725">
        <v>9.6000000000000002E-2</v>
      </c>
      <c r="E38" s="725">
        <v>9.6000000000000002E-2</v>
      </c>
      <c r="F38" s="737"/>
    </row>
    <row r="39" spans="1:6" ht="15" thickBot="1">
      <c r="A39" s="568" t="s">
        <v>441</v>
      </c>
      <c r="B39" s="572" t="s">
        <v>291</v>
      </c>
      <c r="C39" s="725">
        <v>0.1</v>
      </c>
      <c r="D39" s="725">
        <v>9.6000000000000002E-2</v>
      </c>
      <c r="E39" s="725">
        <v>9.6000000000000002E-2</v>
      </c>
      <c r="F39" s="737"/>
    </row>
    <row r="40" spans="1:6" ht="15" thickBot="1">
      <c r="A40" s="568" t="s">
        <v>441</v>
      </c>
      <c r="B40" s="572" t="s">
        <v>301</v>
      </c>
      <c r="C40" s="725">
        <v>9.6000000000000002E-2</v>
      </c>
      <c r="D40" s="725">
        <v>0.1</v>
      </c>
      <c r="E40" s="725">
        <v>9.9000000000000005E-2</v>
      </c>
      <c r="F40" s="737"/>
    </row>
    <row r="41" spans="1:6" ht="15" thickBot="1">
      <c r="A41" s="568" t="s">
        <v>441</v>
      </c>
      <c r="B41" s="572" t="s">
        <v>311</v>
      </c>
      <c r="C41" s="725">
        <v>9.6000000000000002E-2</v>
      </c>
      <c r="D41" s="725">
        <v>9.8000000000000004E-2</v>
      </c>
      <c r="E41" s="725">
        <v>9.8000000000000004E-2</v>
      </c>
      <c r="F41" s="737"/>
    </row>
    <row r="42" spans="1:6" ht="15" thickBot="1">
      <c r="A42" s="568" t="s">
        <v>441</v>
      </c>
      <c r="B42" s="572" t="s">
        <v>322</v>
      </c>
      <c r="C42" s="725">
        <v>0.1</v>
      </c>
      <c r="D42" s="725">
        <v>8.7999999999999995E-2</v>
      </c>
      <c r="E42" s="725">
        <v>0.1</v>
      </c>
      <c r="F42" s="737"/>
    </row>
    <row r="43" spans="1:6" ht="15" thickBot="1">
      <c r="A43" s="568" t="s">
        <v>441</v>
      </c>
      <c r="B43" s="572" t="s">
        <v>333</v>
      </c>
      <c r="C43" s="725">
        <v>9.8000000000000004E-2</v>
      </c>
      <c r="D43" s="725">
        <v>9.7000000000000003E-2</v>
      </c>
      <c r="E43" s="725">
        <v>9.6000000000000002E-2</v>
      </c>
      <c r="F43" s="737"/>
    </row>
    <row r="44" spans="1:6" ht="15" thickBot="1">
      <c r="A44" s="568" t="s">
        <v>441</v>
      </c>
      <c r="B44" s="572" t="s">
        <v>343</v>
      </c>
      <c r="C44" s="725">
        <v>8.5999999999999993E-2</v>
      </c>
      <c r="D44" s="725">
        <v>7.9000000000000001E-2</v>
      </c>
      <c r="E44" s="725">
        <v>7.0999999999999994E-2</v>
      </c>
      <c r="F44" s="737"/>
    </row>
    <row r="45" spans="1:6" ht="15" thickBot="1">
      <c r="A45" s="568" t="s">
        <v>441</v>
      </c>
      <c r="B45" s="572" t="s">
        <v>353</v>
      </c>
      <c r="C45" s="725">
        <v>9.8000000000000004E-2</v>
      </c>
      <c r="D45" s="725">
        <v>9.6000000000000002E-2</v>
      </c>
      <c r="E45" s="725">
        <v>9.6000000000000002E-2</v>
      </c>
      <c r="F45" s="737"/>
    </row>
    <row r="46" spans="1:6" ht="15" thickBot="1">
      <c r="A46" s="568" t="s">
        <v>441</v>
      </c>
      <c r="B46" s="572" t="s">
        <v>363</v>
      </c>
      <c r="C46" s="725">
        <v>8.5999999999999993E-2</v>
      </c>
      <c r="D46" s="725">
        <v>9.8000000000000004E-2</v>
      </c>
      <c r="E46" s="725">
        <v>8.7999999999999995E-2</v>
      </c>
      <c r="F46" s="737"/>
    </row>
    <row r="47" spans="1:6" ht="15" thickBot="1">
      <c r="A47" s="568" t="s">
        <v>441</v>
      </c>
      <c r="B47" s="572" t="s">
        <v>373</v>
      </c>
      <c r="C47" s="725">
        <v>9.6000000000000002E-2</v>
      </c>
      <c r="D47" s="738"/>
      <c r="E47" s="725">
        <v>6.9000000000000006E-2</v>
      </c>
      <c r="F47" s="737"/>
    </row>
    <row r="48" spans="1:6" ht="15" thickBot="1">
      <c r="A48" s="578" t="s">
        <v>441</v>
      </c>
      <c r="B48" s="573" t="s">
        <v>382</v>
      </c>
      <c r="C48" s="727">
        <v>9.8000000000000004E-2</v>
      </c>
      <c r="D48" s="735"/>
      <c r="E48" s="727">
        <v>9.5000000000000001E-2</v>
      </c>
      <c r="F48" s="736"/>
    </row>
    <row r="49" spans="1:6" ht="15" thickBot="1">
      <c r="A49" s="568" t="s">
        <v>137</v>
      </c>
      <c r="B49" s="569" t="s">
        <v>671</v>
      </c>
      <c r="C49" s="723">
        <v>9.7000000000000003E-2</v>
      </c>
      <c r="D49" s="723">
        <v>9.5000000000000001E-2</v>
      </c>
      <c r="E49" s="723">
        <v>9.7000000000000003E-2</v>
      </c>
      <c r="F49" s="724">
        <v>0.1</v>
      </c>
    </row>
    <row r="50" spans="1:6" ht="15" thickBot="1">
      <c r="A50" s="568" t="s">
        <v>137</v>
      </c>
      <c r="B50" s="562" t="s">
        <v>189</v>
      </c>
      <c r="C50" s="725">
        <v>7.4999999999999997E-2</v>
      </c>
      <c r="D50" s="725">
        <v>9.5000000000000001E-2</v>
      </c>
      <c r="E50" s="725">
        <v>0.1</v>
      </c>
      <c r="F50" s="726">
        <v>0.1</v>
      </c>
    </row>
    <row r="51" spans="1:6" ht="15" thickBot="1">
      <c r="A51" s="568" t="s">
        <v>137</v>
      </c>
      <c r="B51" s="562" t="s">
        <v>202</v>
      </c>
      <c r="C51" s="725">
        <v>9.8000000000000004E-2</v>
      </c>
      <c r="D51" s="725">
        <v>8.8999999999999996E-2</v>
      </c>
      <c r="E51" s="725">
        <v>0.1</v>
      </c>
      <c r="F51" s="726">
        <v>0.1</v>
      </c>
    </row>
    <row r="52" spans="1:6" ht="15" thickBot="1">
      <c r="A52" s="568" t="s">
        <v>137</v>
      </c>
      <c r="B52" s="562" t="s">
        <v>215</v>
      </c>
      <c r="C52" s="725">
        <v>9.8000000000000004E-2</v>
      </c>
      <c r="D52" s="725">
        <v>9.7000000000000003E-2</v>
      </c>
      <c r="E52" s="725">
        <v>8.1000000000000003E-2</v>
      </c>
      <c r="F52" s="726">
        <v>0.1</v>
      </c>
    </row>
    <row r="53" spans="1:6" ht="15" thickBot="1">
      <c r="A53" s="568" t="s">
        <v>137</v>
      </c>
      <c r="B53" s="562" t="s">
        <v>227</v>
      </c>
      <c r="C53" s="725">
        <v>9.7000000000000003E-2</v>
      </c>
      <c r="D53" s="725">
        <v>7.5999999999999998E-2</v>
      </c>
      <c r="E53" s="725">
        <v>7.0999999999999994E-2</v>
      </c>
      <c r="F53" s="726">
        <v>0.1</v>
      </c>
    </row>
    <row r="54" spans="1:6" ht="15" thickBot="1">
      <c r="A54" s="568" t="s">
        <v>137</v>
      </c>
      <c r="B54" s="562" t="s">
        <v>238</v>
      </c>
      <c r="C54" s="725">
        <v>7.5999999999999998E-2</v>
      </c>
      <c r="D54" s="725">
        <v>0.1</v>
      </c>
      <c r="E54" s="725">
        <v>9.9000000000000005E-2</v>
      </c>
      <c r="F54" s="726">
        <v>0.1</v>
      </c>
    </row>
    <row r="55" spans="1:6" ht="15" thickBot="1">
      <c r="A55" s="568" t="s">
        <v>137</v>
      </c>
      <c r="B55" s="562" t="s">
        <v>249</v>
      </c>
      <c r="C55" s="725">
        <v>0.1</v>
      </c>
      <c r="D55" s="725">
        <v>0.1</v>
      </c>
      <c r="E55" s="725">
        <v>9.6000000000000002E-2</v>
      </c>
      <c r="F55" s="726">
        <v>0.1</v>
      </c>
    </row>
    <row r="56" spans="1:6" ht="15" thickBot="1">
      <c r="A56" s="568" t="s">
        <v>137</v>
      </c>
      <c r="B56" s="562" t="s">
        <v>260</v>
      </c>
      <c r="C56" s="725">
        <v>0.1</v>
      </c>
      <c r="D56" s="725">
        <v>9.6000000000000002E-2</v>
      </c>
      <c r="E56" s="725">
        <v>5.1999999999999998E-2</v>
      </c>
      <c r="F56" s="726">
        <v>0.1</v>
      </c>
    </row>
    <row r="57" spans="1:6" ht="15" thickBot="1">
      <c r="A57" s="568" t="s">
        <v>137</v>
      </c>
      <c r="B57" s="562" t="s">
        <v>272</v>
      </c>
      <c r="C57" s="725">
        <v>9.7000000000000003E-2</v>
      </c>
      <c r="D57" s="725">
        <v>9.6000000000000002E-2</v>
      </c>
      <c r="E57" s="725">
        <v>9.6000000000000002E-2</v>
      </c>
      <c r="F57" s="726">
        <v>0.1</v>
      </c>
    </row>
    <row r="58" spans="1:6" ht="15" thickBot="1">
      <c r="A58" s="568" t="s">
        <v>137</v>
      </c>
      <c r="B58" s="562" t="s">
        <v>282</v>
      </c>
      <c r="C58" s="725">
        <v>9.6000000000000002E-2</v>
      </c>
      <c r="D58" s="725">
        <v>9.9000000000000005E-2</v>
      </c>
      <c r="E58" s="725">
        <v>9.6000000000000002E-2</v>
      </c>
      <c r="F58" s="726">
        <v>0.1</v>
      </c>
    </row>
    <row r="59" spans="1:6" ht="15" thickBot="1">
      <c r="A59" s="568" t="s">
        <v>137</v>
      </c>
      <c r="B59" s="562" t="s">
        <v>292</v>
      </c>
      <c r="C59" s="725">
        <v>7.1999999999999995E-2</v>
      </c>
      <c r="D59" s="725">
        <v>9.6000000000000002E-2</v>
      </c>
      <c r="E59" s="725">
        <v>7.0999999999999994E-2</v>
      </c>
      <c r="F59" s="726">
        <v>0.1</v>
      </c>
    </row>
    <row r="60" spans="1:6" ht="15" thickBot="1">
      <c r="A60" s="568" t="s">
        <v>137</v>
      </c>
      <c r="B60" s="562" t="s">
        <v>302</v>
      </c>
      <c r="C60" s="725">
        <v>9.6000000000000002E-2</v>
      </c>
      <c r="D60" s="725">
        <v>8.8999999999999996E-2</v>
      </c>
      <c r="E60" s="725">
        <v>9.6000000000000002E-2</v>
      </c>
      <c r="F60" s="726">
        <v>0.1</v>
      </c>
    </row>
    <row r="61" spans="1:6" ht="15" thickBot="1">
      <c r="A61" s="568" t="s">
        <v>137</v>
      </c>
      <c r="B61" s="562" t="s">
        <v>312</v>
      </c>
      <c r="C61" s="725">
        <v>8.8999999999999996E-2</v>
      </c>
      <c r="D61" s="725">
        <v>9.8000000000000004E-2</v>
      </c>
      <c r="E61" s="725">
        <v>8.7999999999999995E-2</v>
      </c>
      <c r="F61" s="737"/>
    </row>
    <row r="62" spans="1:6" ht="15" thickBot="1">
      <c r="A62" s="568" t="s">
        <v>137</v>
      </c>
      <c r="B62" s="562" t="s">
        <v>323</v>
      </c>
      <c r="C62" s="725">
        <v>9.8000000000000004E-2</v>
      </c>
      <c r="D62" s="725">
        <v>9.2999999999999999E-2</v>
      </c>
      <c r="E62" s="725">
        <v>9.7000000000000003E-2</v>
      </c>
      <c r="F62" s="737"/>
    </row>
    <row r="63" spans="1:6" ht="15" thickBot="1">
      <c r="A63" s="568" t="s">
        <v>137</v>
      </c>
      <c r="B63" s="562" t="s">
        <v>334</v>
      </c>
      <c r="C63" s="725">
        <v>9.6000000000000002E-2</v>
      </c>
      <c r="D63" s="725">
        <v>9.8000000000000004E-2</v>
      </c>
      <c r="E63" s="725">
        <v>0.09</v>
      </c>
      <c r="F63" s="737"/>
    </row>
    <row r="64" spans="1:6" ht="15" thickBot="1">
      <c r="A64" s="568" t="s">
        <v>137</v>
      </c>
      <c r="B64" s="562" t="s">
        <v>344</v>
      </c>
      <c r="C64" s="725">
        <v>9.9000000000000005E-2</v>
      </c>
      <c r="D64" s="725">
        <v>9.7000000000000003E-2</v>
      </c>
      <c r="E64" s="725">
        <v>9.9000000000000005E-2</v>
      </c>
      <c r="F64" s="737"/>
    </row>
    <row r="65" spans="1:6" ht="15" thickBot="1">
      <c r="A65" s="568" t="s">
        <v>137</v>
      </c>
      <c r="B65" s="562" t="s">
        <v>354</v>
      </c>
      <c r="C65" s="725">
        <v>9.8000000000000004E-2</v>
      </c>
      <c r="D65" s="725">
        <v>9.6000000000000002E-2</v>
      </c>
      <c r="E65" s="725">
        <v>9.6000000000000002E-2</v>
      </c>
      <c r="F65" s="737"/>
    </row>
    <row r="66" spans="1:6" ht="15" thickBot="1">
      <c r="A66" s="568" t="s">
        <v>137</v>
      </c>
      <c r="B66" s="562" t="s">
        <v>364</v>
      </c>
      <c r="C66" s="725">
        <v>9.6000000000000002E-2</v>
      </c>
      <c r="D66" s="725">
        <v>9.1999999999999998E-2</v>
      </c>
      <c r="E66" s="725">
        <v>9.6000000000000002E-2</v>
      </c>
      <c r="F66" s="737"/>
    </row>
    <row r="67" spans="1:6" ht="15" thickBot="1">
      <c r="A67" s="568" t="s">
        <v>137</v>
      </c>
      <c r="B67" s="562" t="s">
        <v>374</v>
      </c>
      <c r="C67" s="725">
        <v>9.4E-2</v>
      </c>
      <c r="D67" s="725">
        <v>0.1</v>
      </c>
      <c r="E67" s="725">
        <v>8.7999999999999995E-2</v>
      </c>
      <c r="F67" s="737"/>
    </row>
    <row r="68" spans="1:6" ht="15" thickBot="1">
      <c r="A68" s="568" t="s">
        <v>137</v>
      </c>
      <c r="B68" s="562" t="s">
        <v>383</v>
      </c>
      <c r="C68" s="725">
        <v>0.1</v>
      </c>
      <c r="D68" s="725">
        <v>8.7999999999999995E-2</v>
      </c>
      <c r="E68" s="725">
        <v>9.7000000000000003E-2</v>
      </c>
      <c r="F68" s="737"/>
    </row>
    <row r="69" spans="1:6" ht="15" thickBot="1">
      <c r="A69" s="568" t="s">
        <v>137</v>
      </c>
      <c r="B69" s="562" t="s">
        <v>392</v>
      </c>
      <c r="C69" s="725">
        <v>6.4000000000000001E-2</v>
      </c>
      <c r="D69" s="725">
        <v>0.1</v>
      </c>
      <c r="E69" s="725">
        <v>0.1</v>
      </c>
      <c r="F69" s="737"/>
    </row>
    <row r="70" spans="1:6" ht="15" thickBot="1">
      <c r="A70" s="568" t="s">
        <v>137</v>
      </c>
      <c r="B70" s="562" t="s">
        <v>400</v>
      </c>
      <c r="C70" s="725">
        <v>9.0999999999999998E-2</v>
      </c>
      <c r="D70" s="738"/>
      <c r="E70" s="738"/>
      <c r="F70" s="737"/>
    </row>
    <row r="71" spans="1:6" ht="15" thickBot="1">
      <c r="A71" s="568" t="s">
        <v>137</v>
      </c>
      <c r="B71" s="562" t="s">
        <v>407</v>
      </c>
      <c r="C71" s="725">
        <v>0.1</v>
      </c>
      <c r="D71" s="738"/>
      <c r="E71" s="738"/>
      <c r="F71" s="737"/>
    </row>
    <row r="72" spans="1:6" ht="24.6" thickBot="1">
      <c r="A72" s="568" t="s">
        <v>137</v>
      </c>
      <c r="B72" s="562" t="s">
        <v>672</v>
      </c>
      <c r="C72" s="738"/>
      <c r="D72" s="738"/>
      <c r="E72" s="738"/>
      <c r="F72" s="726">
        <v>0.05</v>
      </c>
    </row>
    <row r="73" spans="1:6" ht="24.6" thickBot="1">
      <c r="A73" s="568" t="s">
        <v>137</v>
      </c>
      <c r="B73" s="562" t="s">
        <v>673</v>
      </c>
      <c r="C73" s="738"/>
      <c r="D73" s="738"/>
      <c r="E73" s="738"/>
      <c r="F73" s="726">
        <v>0.05</v>
      </c>
    </row>
    <row r="74" spans="1:6" ht="24.6" thickBot="1">
      <c r="A74" s="568" t="s">
        <v>137</v>
      </c>
      <c r="B74" s="562" t="s">
        <v>674</v>
      </c>
      <c r="C74" s="738"/>
      <c r="D74" s="738"/>
      <c r="E74" s="738"/>
      <c r="F74" s="726">
        <v>0.05</v>
      </c>
    </row>
    <row r="75" spans="1:6" ht="24.6" thickBot="1">
      <c r="A75" s="578" t="s">
        <v>137</v>
      </c>
      <c r="B75" s="574" t="s">
        <v>675</v>
      </c>
      <c r="C75" s="735"/>
      <c r="D75" s="735"/>
      <c r="E75" s="735"/>
      <c r="F75" s="728">
        <v>0.05</v>
      </c>
    </row>
    <row r="76" spans="1:6" ht="15" thickBot="1">
      <c r="A76" s="568" t="s">
        <v>522</v>
      </c>
      <c r="B76" s="569" t="s">
        <v>676</v>
      </c>
      <c r="C76" s="723">
        <v>0.1</v>
      </c>
      <c r="D76" s="723">
        <v>0.1</v>
      </c>
      <c r="E76" s="723">
        <v>0.1</v>
      </c>
      <c r="F76" s="724">
        <v>0.1</v>
      </c>
    </row>
    <row r="77" spans="1:6" ht="15" thickBot="1">
      <c r="A77" s="568" t="s">
        <v>522</v>
      </c>
      <c r="B77" s="562" t="s">
        <v>190</v>
      </c>
      <c r="C77" s="725">
        <v>8.7999999999999995E-2</v>
      </c>
      <c r="D77" s="725">
        <v>8.6999999999999994E-2</v>
      </c>
      <c r="E77" s="725">
        <v>7.9000000000000001E-2</v>
      </c>
      <c r="F77" s="726">
        <v>0.1</v>
      </c>
    </row>
    <row r="78" spans="1:6" ht="15" thickBot="1">
      <c r="A78" s="568" t="s">
        <v>522</v>
      </c>
      <c r="B78" s="562" t="s">
        <v>203</v>
      </c>
      <c r="C78" s="725">
        <v>8.6999999999999994E-2</v>
      </c>
      <c r="D78" s="725">
        <v>8.4000000000000005E-2</v>
      </c>
      <c r="E78" s="725">
        <v>9.6000000000000002E-2</v>
      </c>
      <c r="F78" s="726">
        <v>0.1</v>
      </c>
    </row>
    <row r="79" spans="1:6" ht="15" thickBot="1">
      <c r="A79" s="568" t="s">
        <v>522</v>
      </c>
      <c r="B79" s="562" t="s">
        <v>216</v>
      </c>
      <c r="C79" s="725">
        <v>9.8000000000000004E-2</v>
      </c>
      <c r="D79" s="725">
        <v>9.8000000000000004E-2</v>
      </c>
      <c r="E79" s="725">
        <v>9.0999999999999998E-2</v>
      </c>
      <c r="F79" s="726">
        <v>0.1</v>
      </c>
    </row>
    <row r="80" spans="1:6" ht="15" thickBot="1">
      <c r="A80" s="568" t="s">
        <v>522</v>
      </c>
      <c r="B80" s="562" t="s">
        <v>228</v>
      </c>
      <c r="C80" s="725">
        <v>9.6000000000000002E-2</v>
      </c>
      <c r="D80" s="725">
        <v>9.6000000000000002E-2</v>
      </c>
      <c r="E80" s="725">
        <v>0.1</v>
      </c>
      <c r="F80" s="726">
        <v>0.1</v>
      </c>
    </row>
    <row r="81" spans="1:6" ht="15" thickBot="1">
      <c r="A81" s="568" t="s">
        <v>522</v>
      </c>
      <c r="B81" s="562" t="s">
        <v>239</v>
      </c>
      <c r="C81" s="725">
        <v>9.9000000000000005E-2</v>
      </c>
      <c r="D81" s="725">
        <v>9.9000000000000005E-2</v>
      </c>
      <c r="E81" s="725">
        <v>9.8000000000000004E-2</v>
      </c>
      <c r="F81" s="726">
        <v>0.1</v>
      </c>
    </row>
    <row r="82" spans="1:6" ht="15" thickBot="1">
      <c r="A82" s="568" t="s">
        <v>522</v>
      </c>
      <c r="B82" s="562" t="s">
        <v>250</v>
      </c>
      <c r="C82" s="725">
        <v>9.9000000000000005E-2</v>
      </c>
      <c r="D82" s="725">
        <v>9.9000000000000005E-2</v>
      </c>
      <c r="E82" s="725">
        <v>9.7000000000000003E-2</v>
      </c>
      <c r="F82" s="726">
        <v>0.1</v>
      </c>
    </row>
    <row r="83" spans="1:6" ht="15" thickBot="1">
      <c r="A83" s="568" t="s">
        <v>522</v>
      </c>
      <c r="B83" s="562" t="s">
        <v>261</v>
      </c>
      <c r="C83" s="725">
        <v>9.8000000000000004E-2</v>
      </c>
      <c r="D83" s="725">
        <v>9.8000000000000004E-2</v>
      </c>
      <c r="E83" s="725">
        <v>9.8000000000000004E-2</v>
      </c>
      <c r="F83" s="726">
        <v>0.1</v>
      </c>
    </row>
    <row r="84" spans="1:6" ht="15" thickBot="1">
      <c r="A84" s="568" t="s">
        <v>522</v>
      </c>
      <c r="B84" s="562" t="s">
        <v>273</v>
      </c>
      <c r="C84" s="725">
        <v>9.9000000000000005E-2</v>
      </c>
      <c r="D84" s="725">
        <v>9.9000000000000005E-2</v>
      </c>
      <c r="E84" s="725">
        <v>9.9000000000000005E-2</v>
      </c>
      <c r="F84" s="726">
        <v>0.1</v>
      </c>
    </row>
    <row r="85" spans="1:6" ht="15" thickBot="1">
      <c r="A85" s="568" t="s">
        <v>522</v>
      </c>
      <c r="B85" s="562" t="s">
        <v>283</v>
      </c>
      <c r="C85" s="725">
        <v>9.9000000000000005E-2</v>
      </c>
      <c r="D85" s="725">
        <v>9.9000000000000005E-2</v>
      </c>
      <c r="E85" s="725">
        <v>9.9000000000000005E-2</v>
      </c>
      <c r="F85" s="726">
        <v>0.1</v>
      </c>
    </row>
    <row r="86" spans="1:6" ht="15" thickBot="1">
      <c r="A86" s="568" t="s">
        <v>522</v>
      </c>
      <c r="B86" s="562" t="s">
        <v>293</v>
      </c>
      <c r="C86" s="725">
        <v>0.1</v>
      </c>
      <c r="D86" s="725">
        <v>0.1</v>
      </c>
      <c r="E86" s="725">
        <v>7.6999999999999999E-2</v>
      </c>
      <c r="F86" s="726">
        <v>0.1</v>
      </c>
    </row>
    <row r="87" spans="1:6" ht="15" thickBot="1">
      <c r="A87" s="568" t="s">
        <v>522</v>
      </c>
      <c r="B87" s="562" t="s">
        <v>303</v>
      </c>
      <c r="C87" s="725">
        <v>0.1</v>
      </c>
      <c r="D87" s="725">
        <v>0.1</v>
      </c>
      <c r="E87" s="725">
        <v>9.8000000000000004E-2</v>
      </c>
      <c r="F87" s="737"/>
    </row>
    <row r="88" spans="1:6" ht="15" thickBot="1">
      <c r="A88" s="568" t="s">
        <v>522</v>
      </c>
      <c r="B88" s="562" t="s">
        <v>313</v>
      </c>
      <c r="C88" s="725">
        <v>9.1999999999999998E-2</v>
      </c>
      <c r="D88" s="725">
        <v>8.5000000000000006E-2</v>
      </c>
      <c r="E88" s="725">
        <v>9.6000000000000002E-2</v>
      </c>
      <c r="F88" s="737"/>
    </row>
    <row r="89" spans="1:6" ht="15" thickBot="1">
      <c r="A89" s="568" t="s">
        <v>522</v>
      </c>
      <c r="B89" s="562" t="s">
        <v>324</v>
      </c>
      <c r="C89" s="725">
        <v>0.1</v>
      </c>
      <c r="D89" s="725">
        <v>0.1</v>
      </c>
      <c r="E89" s="725">
        <v>9.7000000000000003E-2</v>
      </c>
      <c r="F89" s="737"/>
    </row>
    <row r="90" spans="1:6" ht="15" thickBot="1">
      <c r="A90" s="568" t="s">
        <v>522</v>
      </c>
      <c r="B90" s="562" t="s">
        <v>335</v>
      </c>
      <c r="C90" s="725">
        <v>9.8000000000000004E-2</v>
      </c>
      <c r="D90" s="725">
        <v>9.8000000000000004E-2</v>
      </c>
      <c r="E90" s="725">
        <v>8.7999999999999995E-2</v>
      </c>
      <c r="F90" s="737"/>
    </row>
    <row r="91" spans="1:6" ht="15" thickBot="1">
      <c r="A91" s="568" t="s">
        <v>522</v>
      </c>
      <c r="B91" s="562" t="s">
        <v>345</v>
      </c>
      <c r="C91" s="725">
        <v>9.9000000000000005E-2</v>
      </c>
      <c r="D91" s="725">
        <v>9.9000000000000005E-2</v>
      </c>
      <c r="E91" s="725">
        <v>9.0999999999999998E-2</v>
      </c>
      <c r="F91" s="737"/>
    </row>
    <row r="92" spans="1:6" ht="15" thickBot="1">
      <c r="A92" s="568" t="s">
        <v>522</v>
      </c>
      <c r="B92" s="562" t="s">
        <v>355</v>
      </c>
      <c r="C92" s="725">
        <v>9.6000000000000002E-2</v>
      </c>
      <c r="D92" s="725">
        <v>9.6000000000000002E-2</v>
      </c>
      <c r="E92" s="725">
        <v>7.2999999999999995E-2</v>
      </c>
      <c r="F92" s="737"/>
    </row>
    <row r="93" spans="1:6" ht="15" thickBot="1">
      <c r="A93" s="568" t="s">
        <v>522</v>
      </c>
      <c r="B93" s="562" t="s">
        <v>365</v>
      </c>
      <c r="C93" s="725">
        <v>9.6000000000000002E-2</v>
      </c>
      <c r="D93" s="725">
        <v>9.6000000000000002E-2</v>
      </c>
      <c r="E93" s="725">
        <v>9.9000000000000005E-2</v>
      </c>
      <c r="F93" s="737"/>
    </row>
    <row r="94" spans="1:6" ht="15" thickBot="1">
      <c r="A94" s="568" t="s">
        <v>522</v>
      </c>
      <c r="B94" s="562" t="s">
        <v>375</v>
      </c>
      <c r="C94" s="725">
        <v>7.5999999999999998E-2</v>
      </c>
      <c r="D94" s="725">
        <v>7.3999999999999996E-2</v>
      </c>
      <c r="E94" s="725">
        <v>9.7000000000000003E-2</v>
      </c>
      <c r="F94" s="737"/>
    </row>
    <row r="95" spans="1:6" ht="15" thickBot="1">
      <c r="A95" s="568" t="s">
        <v>522</v>
      </c>
      <c r="B95" s="562" t="s">
        <v>384</v>
      </c>
      <c r="C95" s="725">
        <v>9.9000000000000005E-2</v>
      </c>
      <c r="D95" s="725">
        <v>9.4E-2</v>
      </c>
      <c r="E95" s="725">
        <v>9.6000000000000002E-2</v>
      </c>
      <c r="F95" s="737"/>
    </row>
    <row r="96" spans="1:6" ht="15" thickBot="1">
      <c r="A96" s="568" t="s">
        <v>522</v>
      </c>
      <c r="B96" s="562" t="s">
        <v>393</v>
      </c>
      <c r="C96" s="725">
        <v>9.9000000000000005E-2</v>
      </c>
      <c r="D96" s="725">
        <v>9.9000000000000005E-2</v>
      </c>
      <c r="E96" s="725">
        <v>9.9000000000000005E-2</v>
      </c>
      <c r="F96" s="737"/>
    </row>
    <row r="97" spans="1:6" ht="15" thickBot="1">
      <c r="A97" s="568" t="s">
        <v>522</v>
      </c>
      <c r="B97" s="562" t="s">
        <v>401</v>
      </c>
      <c r="C97" s="725">
        <v>9.8000000000000004E-2</v>
      </c>
      <c r="D97" s="725">
        <v>9.8000000000000004E-2</v>
      </c>
      <c r="E97" s="725">
        <v>9.7000000000000003E-2</v>
      </c>
      <c r="F97" s="737"/>
    </row>
    <row r="98" spans="1:6" ht="15" thickBot="1">
      <c r="A98" s="568" t="s">
        <v>522</v>
      </c>
      <c r="B98" s="562" t="s">
        <v>408</v>
      </c>
      <c r="C98" s="725">
        <v>0.1</v>
      </c>
      <c r="D98" s="725">
        <v>0.1</v>
      </c>
      <c r="E98" s="725">
        <v>9.7000000000000003E-2</v>
      </c>
      <c r="F98" s="737"/>
    </row>
    <row r="99" spans="1:6" ht="15" thickBot="1">
      <c r="A99" s="568" t="s">
        <v>522</v>
      </c>
      <c r="B99" s="562" t="s">
        <v>415</v>
      </c>
      <c r="C99" s="725">
        <v>0.1</v>
      </c>
      <c r="D99" s="725">
        <v>0.1</v>
      </c>
      <c r="E99" s="738"/>
      <c r="F99" s="737"/>
    </row>
    <row r="100" spans="1:6" ht="15" thickBot="1">
      <c r="A100" s="568" t="s">
        <v>522</v>
      </c>
      <c r="B100" s="562" t="s">
        <v>422</v>
      </c>
      <c r="C100" s="725">
        <v>0.09</v>
      </c>
      <c r="D100" s="725">
        <v>8.8999999999999996E-2</v>
      </c>
      <c r="E100" s="738"/>
      <c r="F100" s="737"/>
    </row>
    <row r="101" spans="1:6" ht="15" thickBot="1">
      <c r="A101" s="568" t="s">
        <v>522</v>
      </c>
      <c r="B101" s="562" t="s">
        <v>429</v>
      </c>
      <c r="C101" s="725">
        <v>9.8000000000000004E-2</v>
      </c>
      <c r="D101" s="725">
        <v>9.7000000000000003E-2</v>
      </c>
      <c r="E101" s="738"/>
      <c r="F101" s="737"/>
    </row>
    <row r="102" spans="1:6" ht="24.6" thickBot="1">
      <c r="A102" s="568" t="s">
        <v>522</v>
      </c>
      <c r="B102" s="562" t="s">
        <v>677</v>
      </c>
      <c r="C102" s="738"/>
      <c r="D102" s="738"/>
      <c r="E102" s="738"/>
      <c r="F102" s="726">
        <v>0.05</v>
      </c>
    </row>
    <row r="103" spans="1:6" ht="24.6" thickBot="1">
      <c r="A103" s="568" t="s">
        <v>522</v>
      </c>
      <c r="B103" s="562" t="s">
        <v>678</v>
      </c>
      <c r="C103" s="738"/>
      <c r="D103" s="738"/>
      <c r="E103" s="738"/>
      <c r="F103" s="726">
        <v>0.05</v>
      </c>
    </row>
    <row r="104" spans="1:6" ht="15" thickBot="1">
      <c r="A104" s="568" t="s">
        <v>522</v>
      </c>
      <c r="B104" s="562" t="s">
        <v>679</v>
      </c>
      <c r="C104" s="738"/>
      <c r="D104" s="738"/>
      <c r="E104" s="738"/>
      <c r="F104" s="726">
        <v>0.05</v>
      </c>
    </row>
    <row r="105" spans="1:6" ht="24.6" thickBot="1">
      <c r="A105" s="568" t="s">
        <v>522</v>
      </c>
      <c r="B105" s="562" t="s">
        <v>680</v>
      </c>
      <c r="C105" s="738"/>
      <c r="D105" s="738"/>
      <c r="E105" s="738"/>
      <c r="F105" s="726">
        <v>0.05</v>
      </c>
    </row>
    <row r="106" spans="1:6" ht="24.6" thickBot="1">
      <c r="A106" s="568" t="s">
        <v>522</v>
      </c>
      <c r="B106" s="562" t="s">
        <v>681</v>
      </c>
      <c r="C106" s="738"/>
      <c r="D106" s="738"/>
      <c r="E106" s="738"/>
      <c r="F106" s="726">
        <v>0.05</v>
      </c>
    </row>
    <row r="107" spans="1:6" ht="24.6" thickBot="1">
      <c r="A107" s="568" t="s">
        <v>522</v>
      </c>
      <c r="B107" s="562" t="s">
        <v>682</v>
      </c>
      <c r="C107" s="738"/>
      <c r="D107" s="738"/>
      <c r="E107" s="738"/>
      <c r="F107" s="726">
        <v>0.05</v>
      </c>
    </row>
    <row r="108" spans="1:6" ht="24.6" thickBot="1">
      <c r="A108" s="568" t="s">
        <v>522</v>
      </c>
      <c r="B108" s="562" t="s">
        <v>683</v>
      </c>
      <c r="C108" s="738"/>
      <c r="D108" s="738"/>
      <c r="E108" s="738"/>
      <c r="F108" s="726">
        <v>0.05</v>
      </c>
    </row>
    <row r="109" spans="1:6" ht="24.6" thickBot="1">
      <c r="A109" s="578" t="s">
        <v>522</v>
      </c>
      <c r="B109" s="574" t="s">
        <v>684</v>
      </c>
      <c r="C109" s="735"/>
      <c r="D109" s="735"/>
      <c r="E109" s="735"/>
      <c r="F109" s="728">
        <v>0.05</v>
      </c>
    </row>
    <row r="110" spans="1:6" ht="15" thickBot="1">
      <c r="A110" s="568" t="s">
        <v>56</v>
      </c>
      <c r="B110" s="569" t="s">
        <v>685</v>
      </c>
      <c r="C110" s="723">
        <v>0.129</v>
      </c>
      <c r="D110" s="723">
        <v>0.129</v>
      </c>
      <c r="E110" s="723">
        <v>0.126</v>
      </c>
      <c r="F110" s="724">
        <v>0.13</v>
      </c>
    </row>
    <row r="111" spans="1:6" ht="15" thickBot="1">
      <c r="A111" s="568" t="s">
        <v>56</v>
      </c>
      <c r="B111" s="562" t="s">
        <v>191</v>
      </c>
      <c r="C111" s="725">
        <v>0.11</v>
      </c>
      <c r="D111" s="725">
        <v>0.11</v>
      </c>
      <c r="E111" s="725">
        <v>9.9000000000000005E-2</v>
      </c>
      <c r="F111" s="726">
        <v>0.128</v>
      </c>
    </row>
    <row r="112" spans="1:6" ht="15" thickBot="1">
      <c r="A112" s="568" t="s">
        <v>56</v>
      </c>
      <c r="B112" s="562" t="s">
        <v>204</v>
      </c>
      <c r="C112" s="725">
        <v>0.125</v>
      </c>
      <c r="D112" s="725">
        <v>0.125</v>
      </c>
      <c r="E112" s="725">
        <v>0.12</v>
      </c>
      <c r="F112" s="726">
        <v>0.125</v>
      </c>
    </row>
    <row r="113" spans="1:6" ht="15" thickBot="1">
      <c r="A113" s="568" t="s">
        <v>56</v>
      </c>
      <c r="B113" s="562" t="s">
        <v>217</v>
      </c>
      <c r="C113" s="725">
        <v>0.13</v>
      </c>
      <c r="D113" s="725">
        <v>0.13</v>
      </c>
      <c r="E113" s="725">
        <v>0.13</v>
      </c>
      <c r="F113" s="726">
        <v>0.13</v>
      </c>
    </row>
    <row r="114" spans="1:6" ht="15" thickBot="1">
      <c r="A114" s="568" t="s">
        <v>56</v>
      </c>
      <c r="B114" s="562" t="s">
        <v>229</v>
      </c>
      <c r="C114" s="725">
        <v>0.123</v>
      </c>
      <c r="D114" s="725">
        <v>0.123</v>
      </c>
      <c r="E114" s="725">
        <v>0.12</v>
      </c>
      <c r="F114" s="726">
        <v>0.13</v>
      </c>
    </row>
    <row r="115" spans="1:6" ht="15" thickBot="1">
      <c r="A115" s="568" t="s">
        <v>56</v>
      </c>
      <c r="B115" s="562" t="s">
        <v>240</v>
      </c>
      <c r="C115" s="725">
        <v>0.125</v>
      </c>
      <c r="D115" s="725">
        <v>0.125</v>
      </c>
      <c r="E115" s="725">
        <v>0.11700000000000001</v>
      </c>
      <c r="F115" s="726">
        <v>0.13</v>
      </c>
    </row>
    <row r="116" spans="1:6" ht="15" thickBot="1">
      <c r="A116" s="568" t="s">
        <v>56</v>
      </c>
      <c r="B116" s="562" t="s">
        <v>251</v>
      </c>
      <c r="C116" s="725">
        <v>0.11700000000000001</v>
      </c>
      <c r="D116" s="725">
        <v>0.11700000000000001</v>
      </c>
      <c r="E116" s="725">
        <v>8.7999999999999995E-2</v>
      </c>
      <c r="F116" s="726">
        <v>0.13</v>
      </c>
    </row>
    <row r="117" spans="1:6" ht="15" thickBot="1">
      <c r="A117" s="568" t="s">
        <v>56</v>
      </c>
      <c r="B117" s="562" t="s">
        <v>262</v>
      </c>
      <c r="C117" s="725">
        <v>0.13</v>
      </c>
      <c r="D117" s="725">
        <v>0.13</v>
      </c>
      <c r="E117" s="725">
        <v>0.129</v>
      </c>
      <c r="F117" s="726">
        <v>0.13</v>
      </c>
    </row>
    <row r="118" spans="1:6" ht="15" thickBot="1">
      <c r="A118" s="568" t="s">
        <v>56</v>
      </c>
      <c r="B118" s="562" t="s">
        <v>274</v>
      </c>
      <c r="C118" s="725">
        <v>0.123</v>
      </c>
      <c r="D118" s="725">
        <v>0.123</v>
      </c>
      <c r="E118" s="725">
        <v>0.11600000000000001</v>
      </c>
      <c r="F118" s="726">
        <v>0.13</v>
      </c>
    </row>
    <row r="119" spans="1:6" ht="15" thickBot="1">
      <c r="A119" s="568" t="s">
        <v>56</v>
      </c>
      <c r="B119" s="562" t="s">
        <v>284</v>
      </c>
      <c r="C119" s="725">
        <v>0.127</v>
      </c>
      <c r="D119" s="725">
        <v>0.127</v>
      </c>
      <c r="E119" s="725">
        <v>0.124</v>
      </c>
      <c r="F119" s="726">
        <v>0.13</v>
      </c>
    </row>
    <row r="120" spans="1:6" ht="15" thickBot="1">
      <c r="A120" s="568" t="s">
        <v>56</v>
      </c>
      <c r="B120" s="562" t="s">
        <v>294</v>
      </c>
      <c r="C120" s="725">
        <v>0.125</v>
      </c>
      <c r="D120" s="725">
        <v>0.125</v>
      </c>
      <c r="E120" s="725">
        <v>0.122</v>
      </c>
      <c r="F120" s="726">
        <v>0.13</v>
      </c>
    </row>
    <row r="121" spans="1:6" ht="15" thickBot="1">
      <c r="A121" s="568" t="s">
        <v>56</v>
      </c>
      <c r="B121" s="562" t="s">
        <v>304</v>
      </c>
      <c r="C121" s="725">
        <v>0.13</v>
      </c>
      <c r="D121" s="725">
        <v>0.13</v>
      </c>
      <c r="E121" s="725">
        <v>0.13</v>
      </c>
      <c r="F121" s="726">
        <v>0.13</v>
      </c>
    </row>
    <row r="122" spans="1:6" ht="15" thickBot="1">
      <c r="A122" s="568" t="s">
        <v>56</v>
      </c>
      <c r="B122" s="562" t="s">
        <v>314</v>
      </c>
      <c r="C122" s="725">
        <v>0.13</v>
      </c>
      <c r="D122" s="725">
        <v>0.13</v>
      </c>
      <c r="E122" s="725">
        <v>0.125</v>
      </c>
      <c r="F122" s="726">
        <v>0.13</v>
      </c>
    </row>
    <row r="123" spans="1:6" ht="15" thickBot="1">
      <c r="A123" s="568" t="s">
        <v>56</v>
      </c>
      <c r="B123" s="562" t="s">
        <v>325</v>
      </c>
      <c r="C123" s="725">
        <v>0.129</v>
      </c>
      <c r="D123" s="725">
        <v>0.129</v>
      </c>
      <c r="E123" s="725">
        <v>0.123</v>
      </c>
      <c r="F123" s="726">
        <v>0.13</v>
      </c>
    </row>
    <row r="124" spans="1:6" ht="15" thickBot="1">
      <c r="A124" s="568" t="s">
        <v>56</v>
      </c>
      <c r="B124" s="562" t="s">
        <v>336</v>
      </c>
      <c r="C124" s="725">
        <v>0.10199999999999999</v>
      </c>
      <c r="D124" s="725">
        <v>0.10100000000000001</v>
      </c>
      <c r="E124" s="725">
        <v>0.08</v>
      </c>
      <c r="F124" s="737"/>
    </row>
    <row r="125" spans="1:6" ht="15" thickBot="1">
      <c r="A125" s="568" t="s">
        <v>56</v>
      </c>
      <c r="B125" s="562" t="s">
        <v>346</v>
      </c>
      <c r="C125" s="725">
        <v>0.13</v>
      </c>
      <c r="D125" s="725">
        <v>0.13</v>
      </c>
      <c r="E125" s="725">
        <v>0.129</v>
      </c>
      <c r="F125" s="737"/>
    </row>
    <row r="126" spans="1:6" ht="15" thickBot="1">
      <c r="A126" s="568" t="s">
        <v>56</v>
      </c>
      <c r="B126" s="562" t="s">
        <v>356</v>
      </c>
      <c r="C126" s="725">
        <v>0.13</v>
      </c>
      <c r="D126" s="725">
        <v>0.13</v>
      </c>
      <c r="E126" s="725">
        <v>0.126</v>
      </c>
      <c r="F126" s="737"/>
    </row>
    <row r="127" spans="1:6" ht="15" thickBot="1">
      <c r="A127" s="568" t="s">
        <v>56</v>
      </c>
      <c r="B127" s="562" t="s">
        <v>366</v>
      </c>
      <c r="C127" s="725">
        <v>0.125</v>
      </c>
      <c r="D127" s="725">
        <v>0.125</v>
      </c>
      <c r="E127" s="725">
        <v>0.121</v>
      </c>
      <c r="F127" s="737"/>
    </row>
    <row r="128" spans="1:6" ht="15" thickBot="1">
      <c r="A128" s="568" t="s">
        <v>56</v>
      </c>
      <c r="B128" s="562" t="s">
        <v>376</v>
      </c>
      <c r="C128" s="725">
        <v>0.12</v>
      </c>
      <c r="D128" s="725">
        <v>0.12</v>
      </c>
      <c r="E128" s="725">
        <v>0.105</v>
      </c>
      <c r="F128" s="737"/>
    </row>
    <row r="129" spans="1:6" ht="15" thickBot="1">
      <c r="A129" s="568" t="s">
        <v>56</v>
      </c>
      <c r="B129" s="562" t="s">
        <v>385</v>
      </c>
      <c r="C129" s="725">
        <v>0.13</v>
      </c>
      <c r="D129" s="725">
        <v>0.13</v>
      </c>
      <c r="E129" s="725">
        <v>0.126</v>
      </c>
      <c r="F129" s="737"/>
    </row>
    <row r="130" spans="1:6" ht="15" thickBot="1">
      <c r="A130" s="568" t="s">
        <v>56</v>
      </c>
      <c r="B130" s="562" t="s">
        <v>394</v>
      </c>
      <c r="C130" s="725">
        <v>0.125</v>
      </c>
      <c r="D130" s="725">
        <v>0.125</v>
      </c>
      <c r="E130" s="725">
        <v>0.122</v>
      </c>
      <c r="F130" s="737"/>
    </row>
    <row r="131" spans="1:6" ht="15" thickBot="1">
      <c r="A131" s="568" t="s">
        <v>56</v>
      </c>
      <c r="B131" s="562" t="s">
        <v>402</v>
      </c>
      <c r="C131" s="725">
        <v>0.127</v>
      </c>
      <c r="D131" s="725">
        <v>0.126</v>
      </c>
      <c r="E131" s="725">
        <v>0.123</v>
      </c>
      <c r="F131" s="737"/>
    </row>
    <row r="132" spans="1:6" ht="15" thickBot="1">
      <c r="A132" s="568" t="s">
        <v>56</v>
      </c>
      <c r="B132" s="562" t="s">
        <v>409</v>
      </c>
      <c r="C132" s="725">
        <v>9.0999999999999998E-2</v>
      </c>
      <c r="D132" s="725">
        <v>0.121</v>
      </c>
      <c r="E132" s="725">
        <v>9.9000000000000005E-2</v>
      </c>
      <c r="F132" s="737"/>
    </row>
    <row r="133" spans="1:6" ht="15" thickBot="1">
      <c r="A133" s="568" t="s">
        <v>56</v>
      </c>
      <c r="B133" s="562" t="s">
        <v>416</v>
      </c>
      <c r="C133" s="725">
        <v>0.13</v>
      </c>
      <c r="D133" s="725">
        <v>0.13</v>
      </c>
      <c r="E133" s="725">
        <v>0.129</v>
      </c>
      <c r="F133" s="737"/>
    </row>
    <row r="134" spans="1:6" ht="15" thickBot="1">
      <c r="A134" s="568" t="s">
        <v>56</v>
      </c>
      <c r="B134" s="562" t="s">
        <v>686</v>
      </c>
      <c r="C134" s="725">
        <v>6.8000000000000005E-2</v>
      </c>
      <c r="D134" s="725">
        <v>6.5000000000000002E-2</v>
      </c>
      <c r="E134" s="725">
        <v>6.5000000000000002E-2</v>
      </c>
      <c r="F134" s="726">
        <v>0.13</v>
      </c>
    </row>
    <row r="135" spans="1:6" ht="15" thickBot="1">
      <c r="A135" s="568" t="s">
        <v>56</v>
      </c>
      <c r="B135" s="562" t="s">
        <v>430</v>
      </c>
      <c r="C135" s="725">
        <v>0.123</v>
      </c>
      <c r="D135" s="725">
        <v>0.123</v>
      </c>
      <c r="E135" s="725">
        <v>0.11</v>
      </c>
      <c r="F135" s="737"/>
    </row>
    <row r="136" spans="1:6" ht="15" thickBot="1">
      <c r="A136" s="568" t="s">
        <v>56</v>
      </c>
      <c r="B136" s="562" t="s">
        <v>437</v>
      </c>
      <c r="C136" s="725">
        <v>0.13</v>
      </c>
      <c r="D136" s="725">
        <v>0.13</v>
      </c>
      <c r="E136" s="725">
        <v>0.125</v>
      </c>
      <c r="F136" s="737"/>
    </row>
    <row r="137" spans="1:6" ht="15" thickBot="1">
      <c r="A137" s="568" t="s">
        <v>56</v>
      </c>
      <c r="B137" s="562" t="s">
        <v>444</v>
      </c>
      <c r="C137" s="725">
        <v>0.121</v>
      </c>
      <c r="D137" s="725">
        <v>0.122</v>
      </c>
      <c r="E137" s="725">
        <v>0.115</v>
      </c>
      <c r="F137" s="737"/>
    </row>
    <row r="138" spans="1:6" ht="15" thickBot="1">
      <c r="A138" s="568" t="s">
        <v>56</v>
      </c>
      <c r="B138" s="562" t="s">
        <v>687</v>
      </c>
      <c r="C138" s="725">
        <v>0.105</v>
      </c>
      <c r="D138" s="725">
        <v>0.125</v>
      </c>
      <c r="E138" s="725">
        <v>0.112</v>
      </c>
      <c r="F138" s="737"/>
    </row>
    <row r="139" spans="1:6" ht="15" thickBot="1">
      <c r="A139" s="568" t="s">
        <v>56</v>
      </c>
      <c r="B139" s="562" t="s">
        <v>688</v>
      </c>
      <c r="C139" s="725">
        <v>0.127</v>
      </c>
      <c r="D139" s="725">
        <v>0.127</v>
      </c>
      <c r="E139" s="725">
        <v>0.122</v>
      </c>
      <c r="F139" s="726">
        <v>0.13</v>
      </c>
    </row>
    <row r="140" spans="1:6" ht="15" thickBot="1">
      <c r="A140" s="568" t="s">
        <v>56</v>
      </c>
      <c r="B140" s="562" t="s">
        <v>689</v>
      </c>
      <c r="C140" s="725">
        <v>0.125</v>
      </c>
      <c r="D140" s="725">
        <v>0.125</v>
      </c>
      <c r="E140" s="725">
        <v>0.11899999999999999</v>
      </c>
      <c r="F140" s="726">
        <v>0.13</v>
      </c>
    </row>
    <row r="141" spans="1:6" ht="15" thickBot="1">
      <c r="A141" s="568" t="s">
        <v>56</v>
      </c>
      <c r="B141" s="562" t="s">
        <v>463</v>
      </c>
      <c r="C141" s="725">
        <v>0.125</v>
      </c>
      <c r="D141" s="725">
        <v>0.125</v>
      </c>
      <c r="E141" s="725">
        <v>0.11700000000000001</v>
      </c>
      <c r="F141" s="737"/>
    </row>
    <row r="142" spans="1:6" ht="15" thickBot="1">
      <c r="A142" s="568" t="s">
        <v>56</v>
      </c>
      <c r="B142" s="562" t="s">
        <v>468</v>
      </c>
      <c r="C142" s="725">
        <v>0.125</v>
      </c>
      <c r="D142" s="725">
        <v>0.125</v>
      </c>
      <c r="E142" s="725">
        <v>0.115</v>
      </c>
      <c r="F142" s="737"/>
    </row>
    <row r="143" spans="1:6" ht="15" thickBot="1">
      <c r="A143" s="568" t="s">
        <v>56</v>
      </c>
      <c r="B143" s="562" t="s">
        <v>473</v>
      </c>
      <c r="C143" s="725">
        <v>0.121</v>
      </c>
      <c r="D143" s="725">
        <v>0.121</v>
      </c>
      <c r="E143" s="725">
        <v>0.108</v>
      </c>
      <c r="F143" s="737"/>
    </row>
    <row r="144" spans="1:6" ht="15" thickBot="1">
      <c r="A144" s="568" t="s">
        <v>56</v>
      </c>
      <c r="B144" s="729" t="s">
        <v>690</v>
      </c>
      <c r="C144" s="730">
        <v>0.126</v>
      </c>
      <c r="D144" s="730">
        <v>0.126</v>
      </c>
      <c r="E144" s="730">
        <v>0.121</v>
      </c>
      <c r="F144" s="737"/>
    </row>
    <row r="145" spans="1:6" ht="15" thickBot="1">
      <c r="A145" s="578" t="s">
        <v>56</v>
      </c>
      <c r="B145" s="731" t="s">
        <v>691</v>
      </c>
      <c r="C145" s="739"/>
      <c r="D145" s="739"/>
      <c r="E145" s="739"/>
      <c r="F145" s="732">
        <v>0.05</v>
      </c>
    </row>
    <row r="146" spans="1:6" ht="24.6" thickBot="1">
      <c r="A146" s="733" t="s">
        <v>56</v>
      </c>
      <c r="B146" s="572" t="s">
        <v>692</v>
      </c>
      <c r="C146" s="738"/>
      <c r="D146" s="738"/>
      <c r="E146" s="738"/>
      <c r="F146" s="734">
        <v>0.05</v>
      </c>
    </row>
    <row r="147" spans="1:6" ht="24.6" thickBot="1">
      <c r="A147" s="568" t="s">
        <v>56</v>
      </c>
      <c r="B147" s="562" t="s">
        <v>693</v>
      </c>
      <c r="C147" s="738"/>
      <c r="D147" s="738"/>
      <c r="E147" s="738"/>
      <c r="F147" s="726">
        <v>0.05</v>
      </c>
    </row>
    <row r="148" spans="1:6" ht="24.6" thickBot="1">
      <c r="A148" s="568" t="s">
        <v>56</v>
      </c>
      <c r="B148" s="562" t="s">
        <v>694</v>
      </c>
      <c r="C148" s="738"/>
      <c r="D148" s="738"/>
      <c r="E148" s="738"/>
      <c r="F148" s="726">
        <v>0.05</v>
      </c>
    </row>
    <row r="149" spans="1:6" ht="24.6" thickBot="1">
      <c r="A149" s="568" t="s">
        <v>56</v>
      </c>
      <c r="B149" s="562" t="s">
        <v>695</v>
      </c>
      <c r="C149" s="738"/>
      <c r="D149" s="738"/>
      <c r="E149" s="738"/>
      <c r="F149" s="726">
        <v>0.05</v>
      </c>
    </row>
    <row r="150" spans="1:6" ht="24.6" thickBot="1">
      <c r="A150" s="568" t="s">
        <v>56</v>
      </c>
      <c r="B150" s="562" t="s">
        <v>696</v>
      </c>
      <c r="C150" s="738"/>
      <c r="D150" s="738"/>
      <c r="E150" s="738"/>
      <c r="F150" s="726">
        <v>0.05</v>
      </c>
    </row>
    <row r="151" spans="1:6" ht="24.6" thickBot="1">
      <c r="A151" s="568" t="s">
        <v>56</v>
      </c>
      <c r="B151" s="562" t="s">
        <v>697</v>
      </c>
      <c r="C151" s="738"/>
      <c r="D151" s="738"/>
      <c r="E151" s="738"/>
      <c r="F151" s="726">
        <v>0.05</v>
      </c>
    </row>
    <row r="152" spans="1:6" ht="24.6" thickBot="1">
      <c r="A152" s="568" t="s">
        <v>56</v>
      </c>
      <c r="B152" s="562" t="s">
        <v>506</v>
      </c>
      <c r="C152" s="738"/>
      <c r="D152" s="738"/>
      <c r="E152" s="738"/>
      <c r="F152" s="726">
        <v>0.05</v>
      </c>
    </row>
    <row r="153" spans="1:6" ht="15" thickBot="1">
      <c r="A153" s="568" t="s">
        <v>56</v>
      </c>
      <c r="B153" s="562" t="s">
        <v>698</v>
      </c>
      <c r="C153" s="738"/>
      <c r="D153" s="738"/>
      <c r="E153" s="738"/>
      <c r="F153" s="726">
        <v>0.05</v>
      </c>
    </row>
    <row r="154" spans="1:6" ht="15" thickBot="1">
      <c r="A154" s="568" t="s">
        <v>56</v>
      </c>
      <c r="B154" s="562" t="s">
        <v>699</v>
      </c>
      <c r="C154" s="738"/>
      <c r="D154" s="738"/>
      <c r="E154" s="738"/>
      <c r="F154" s="726">
        <v>0.05</v>
      </c>
    </row>
    <row r="155" spans="1:6" ht="24.6" thickBot="1">
      <c r="A155" s="568" t="s">
        <v>56</v>
      </c>
      <c r="B155" s="562" t="s">
        <v>700</v>
      </c>
      <c r="C155" s="738"/>
      <c r="D155" s="738"/>
      <c r="E155" s="738"/>
      <c r="F155" s="726">
        <v>0.05</v>
      </c>
    </row>
    <row r="156" spans="1:6" ht="24.6" thickBot="1">
      <c r="A156" s="568" t="s">
        <v>56</v>
      </c>
      <c r="B156" s="562" t="s">
        <v>701</v>
      </c>
      <c r="C156" s="738"/>
      <c r="D156" s="738"/>
      <c r="E156" s="738"/>
      <c r="F156" s="726">
        <v>0.05</v>
      </c>
    </row>
    <row r="157" spans="1:6" ht="24.6" thickBot="1">
      <c r="A157" s="578" t="s">
        <v>56</v>
      </c>
      <c r="B157" s="574" t="s">
        <v>702</v>
      </c>
      <c r="C157" s="735"/>
      <c r="D157" s="735"/>
      <c r="E157" s="735"/>
      <c r="F157" s="728">
        <v>0.05</v>
      </c>
    </row>
    <row r="158" spans="1:6" ht="15" thickBot="1">
      <c r="A158" s="568" t="s">
        <v>525</v>
      </c>
      <c r="B158" s="569" t="s">
        <v>703</v>
      </c>
      <c r="C158" s="723">
        <v>0.13</v>
      </c>
      <c r="D158" s="723">
        <v>0.13</v>
      </c>
      <c r="E158" s="723">
        <v>0.13</v>
      </c>
      <c r="F158" s="724">
        <v>0.13</v>
      </c>
    </row>
    <row r="159" spans="1:6" ht="15" thickBot="1">
      <c r="A159" s="568" t="s">
        <v>525</v>
      </c>
      <c r="B159" s="562" t="s">
        <v>192</v>
      </c>
      <c r="C159" s="725">
        <v>0.13</v>
      </c>
      <c r="D159" s="725">
        <v>0.13</v>
      </c>
      <c r="E159" s="725">
        <v>0.13</v>
      </c>
      <c r="F159" s="726">
        <v>0.13</v>
      </c>
    </row>
    <row r="160" spans="1:6" ht="15" thickBot="1">
      <c r="A160" s="568" t="s">
        <v>525</v>
      </c>
      <c r="B160" s="562" t="s">
        <v>205</v>
      </c>
      <c r="C160" s="725">
        <v>0.13</v>
      </c>
      <c r="D160" s="725">
        <v>0.13</v>
      </c>
      <c r="E160" s="725">
        <v>0.129</v>
      </c>
      <c r="F160" s="726">
        <v>0.13</v>
      </c>
    </row>
    <row r="161" spans="1:6" ht="15" thickBot="1">
      <c r="A161" s="568" t="s">
        <v>525</v>
      </c>
      <c r="B161" s="562" t="s">
        <v>218</v>
      </c>
      <c r="C161" s="725">
        <v>0.128</v>
      </c>
      <c r="D161" s="725">
        <v>0.128</v>
      </c>
      <c r="E161" s="725">
        <v>0.125</v>
      </c>
      <c r="F161" s="726">
        <v>0.13</v>
      </c>
    </row>
    <row r="162" spans="1:6" ht="15" thickBot="1">
      <c r="A162" s="568" t="s">
        <v>525</v>
      </c>
      <c r="B162" s="562" t="s">
        <v>230</v>
      </c>
      <c r="C162" s="725">
        <v>0.122</v>
      </c>
      <c r="D162" s="725">
        <v>0.122</v>
      </c>
      <c r="E162" s="725">
        <v>0.126</v>
      </c>
      <c r="F162" s="726">
        <v>0.122</v>
      </c>
    </row>
    <row r="163" spans="1:6" ht="15" thickBot="1">
      <c r="A163" s="568" t="s">
        <v>525</v>
      </c>
      <c r="B163" s="562" t="s">
        <v>241</v>
      </c>
      <c r="C163" s="725">
        <v>0.13</v>
      </c>
      <c r="D163" s="725">
        <v>0.13</v>
      </c>
      <c r="E163" s="725">
        <v>0.125</v>
      </c>
      <c r="F163" s="726">
        <v>0.13</v>
      </c>
    </row>
    <row r="164" spans="1:6" ht="15" thickBot="1">
      <c r="A164" s="568" t="s">
        <v>525</v>
      </c>
      <c r="B164" s="562" t="s">
        <v>252</v>
      </c>
      <c r="C164" s="725">
        <v>0.13</v>
      </c>
      <c r="D164" s="725">
        <v>0.13</v>
      </c>
      <c r="E164" s="725">
        <v>0.13</v>
      </c>
      <c r="F164" s="726">
        <v>0.13</v>
      </c>
    </row>
    <row r="165" spans="1:6" ht="15" thickBot="1">
      <c r="A165" s="568" t="s">
        <v>525</v>
      </c>
      <c r="B165" s="562" t="s">
        <v>263</v>
      </c>
      <c r="C165" s="725">
        <v>0.13</v>
      </c>
      <c r="D165" s="725">
        <v>0.13</v>
      </c>
      <c r="E165" s="725">
        <v>0.124</v>
      </c>
      <c r="F165" s="726">
        <v>0.13</v>
      </c>
    </row>
    <row r="166" spans="1:6" ht="15" thickBot="1">
      <c r="A166" s="568" t="s">
        <v>525</v>
      </c>
      <c r="B166" s="562" t="s">
        <v>275</v>
      </c>
      <c r="C166" s="725">
        <v>0.13</v>
      </c>
      <c r="D166" s="725">
        <v>0.13</v>
      </c>
      <c r="E166" s="725">
        <v>0.13</v>
      </c>
      <c r="F166" s="726">
        <v>0.13</v>
      </c>
    </row>
    <row r="167" spans="1:6" ht="15" thickBot="1">
      <c r="A167" s="568" t="s">
        <v>525</v>
      </c>
      <c r="B167" s="562" t="s">
        <v>285</v>
      </c>
      <c r="C167" s="725">
        <v>0.125</v>
      </c>
      <c r="D167" s="725">
        <v>0.125</v>
      </c>
      <c r="E167" s="725">
        <v>0.121</v>
      </c>
      <c r="F167" s="737"/>
    </row>
    <row r="168" spans="1:6" ht="15" thickBot="1">
      <c r="A168" s="568" t="s">
        <v>525</v>
      </c>
      <c r="B168" s="562" t="s">
        <v>295</v>
      </c>
      <c r="C168" s="725">
        <v>0.13</v>
      </c>
      <c r="D168" s="725">
        <v>0.13</v>
      </c>
      <c r="E168" s="725">
        <v>0.126</v>
      </c>
      <c r="F168" s="737"/>
    </row>
    <row r="169" spans="1:6" ht="15" thickBot="1">
      <c r="A169" s="568" t="s">
        <v>525</v>
      </c>
      <c r="B169" s="562" t="s">
        <v>305</v>
      </c>
      <c r="C169" s="725">
        <v>0.128</v>
      </c>
      <c r="D169" s="725">
        <v>0.129</v>
      </c>
      <c r="E169" s="725">
        <v>0.13</v>
      </c>
      <c r="F169" s="737"/>
    </row>
    <row r="170" spans="1:6" ht="15" thickBot="1">
      <c r="A170" s="568" t="s">
        <v>525</v>
      </c>
      <c r="B170" s="562" t="s">
        <v>315</v>
      </c>
      <c r="C170" s="725">
        <v>0.14099999999999999</v>
      </c>
      <c r="D170" s="725">
        <v>0.13</v>
      </c>
      <c r="E170" s="725">
        <v>0.125</v>
      </c>
      <c r="F170" s="737"/>
    </row>
    <row r="171" spans="1:6" ht="15" thickBot="1">
      <c r="A171" s="568" t="s">
        <v>525</v>
      </c>
      <c r="B171" s="562" t="s">
        <v>704</v>
      </c>
      <c r="C171" s="725">
        <v>0.127</v>
      </c>
      <c r="D171" s="725">
        <v>0.126</v>
      </c>
      <c r="E171" s="725">
        <v>0.126</v>
      </c>
      <c r="F171" s="726">
        <v>0.11799999999999999</v>
      </c>
    </row>
    <row r="172" spans="1:6" ht="15" thickBot="1">
      <c r="A172" s="568" t="s">
        <v>525</v>
      </c>
      <c r="B172" s="562" t="s">
        <v>705</v>
      </c>
      <c r="C172" s="725">
        <v>0.13</v>
      </c>
      <c r="D172" s="725">
        <v>0.13</v>
      </c>
      <c r="E172" s="725">
        <v>0.13</v>
      </c>
      <c r="F172" s="737"/>
    </row>
    <row r="173" spans="1:6" ht="15" thickBot="1">
      <c r="A173" s="568" t="s">
        <v>525</v>
      </c>
      <c r="B173" s="562" t="s">
        <v>347</v>
      </c>
      <c r="C173" s="725">
        <v>0.13</v>
      </c>
      <c r="D173" s="725">
        <v>0.13</v>
      </c>
      <c r="E173" s="725">
        <v>0.13</v>
      </c>
      <c r="F173" s="737"/>
    </row>
    <row r="174" spans="1:6" ht="15" thickBot="1">
      <c r="A174" s="568" t="s">
        <v>525</v>
      </c>
      <c r="B174" s="562" t="s">
        <v>706</v>
      </c>
      <c r="C174" s="725">
        <v>0.13</v>
      </c>
      <c r="D174" s="725">
        <v>0.13</v>
      </c>
      <c r="E174" s="725">
        <v>0.13</v>
      </c>
      <c r="F174" s="726">
        <v>0.13</v>
      </c>
    </row>
    <row r="175" spans="1:6" ht="15" thickBot="1">
      <c r="A175" s="568" t="s">
        <v>525</v>
      </c>
      <c r="B175" s="562" t="s">
        <v>707</v>
      </c>
      <c r="C175" s="725">
        <v>0.13</v>
      </c>
      <c r="D175" s="725">
        <v>0.13</v>
      </c>
      <c r="E175" s="725">
        <v>0.13</v>
      </c>
      <c r="F175" s="726">
        <v>0.13</v>
      </c>
    </row>
    <row r="176" spans="1:6" ht="15" thickBot="1">
      <c r="A176" s="568" t="s">
        <v>525</v>
      </c>
      <c r="B176" s="562" t="s">
        <v>377</v>
      </c>
      <c r="C176" s="725">
        <v>0.13</v>
      </c>
      <c r="D176" s="725">
        <v>0.13</v>
      </c>
      <c r="E176" s="725">
        <v>0.13</v>
      </c>
      <c r="F176" s="726">
        <v>0.13</v>
      </c>
    </row>
    <row r="177" spans="1:6" ht="15" thickBot="1">
      <c r="A177" s="568" t="s">
        <v>525</v>
      </c>
      <c r="B177" s="562" t="s">
        <v>708</v>
      </c>
      <c r="C177" s="725">
        <v>0.13</v>
      </c>
      <c r="D177" s="725">
        <v>0.13</v>
      </c>
      <c r="E177" s="725">
        <v>0.13</v>
      </c>
      <c r="F177" s="726">
        <v>0.13</v>
      </c>
    </row>
    <row r="178" spans="1:6" ht="15" thickBot="1">
      <c r="A178" s="568" t="s">
        <v>525</v>
      </c>
      <c r="B178" s="562" t="s">
        <v>395</v>
      </c>
      <c r="C178" s="725">
        <v>0.13</v>
      </c>
      <c r="D178" s="725">
        <v>0.13</v>
      </c>
      <c r="E178" s="725">
        <v>0.13</v>
      </c>
      <c r="F178" s="726">
        <v>0.127</v>
      </c>
    </row>
    <row r="179" spans="1:6" ht="15" thickBot="1">
      <c r="A179" s="568" t="s">
        <v>525</v>
      </c>
      <c r="B179" s="562" t="s">
        <v>403</v>
      </c>
      <c r="C179" s="725">
        <v>0.13</v>
      </c>
      <c r="D179" s="725">
        <v>0.13</v>
      </c>
      <c r="E179" s="725">
        <v>0.13</v>
      </c>
      <c r="F179" s="737"/>
    </row>
    <row r="180" spans="1:6" ht="15" thickBot="1">
      <c r="A180" s="568" t="s">
        <v>525</v>
      </c>
      <c r="B180" s="562" t="s">
        <v>709</v>
      </c>
      <c r="C180" s="725">
        <v>0.13</v>
      </c>
      <c r="D180" s="725">
        <v>0.13</v>
      </c>
      <c r="E180" s="725">
        <v>0.125</v>
      </c>
      <c r="F180" s="726">
        <v>0.13</v>
      </c>
    </row>
    <row r="181" spans="1:6" ht="15" thickBot="1">
      <c r="A181" s="568" t="s">
        <v>525</v>
      </c>
      <c r="B181" s="562" t="s">
        <v>417</v>
      </c>
      <c r="C181" s="725">
        <v>0.122</v>
      </c>
      <c r="D181" s="725">
        <v>0.123</v>
      </c>
      <c r="E181" s="725">
        <v>0.126</v>
      </c>
      <c r="F181" s="726">
        <v>0.121</v>
      </c>
    </row>
    <row r="182" spans="1:6" ht="15" thickBot="1">
      <c r="A182" s="568" t="s">
        <v>525</v>
      </c>
      <c r="B182" s="562" t="s">
        <v>424</v>
      </c>
      <c r="C182" s="725">
        <v>0.125</v>
      </c>
      <c r="D182" s="725">
        <v>0.125</v>
      </c>
      <c r="E182" s="725">
        <v>0.11700000000000001</v>
      </c>
      <c r="F182" s="726">
        <v>0.13</v>
      </c>
    </row>
    <row r="183" spans="1:6" ht="15" thickBot="1">
      <c r="A183" s="568" t="s">
        <v>525</v>
      </c>
      <c r="B183" s="562" t="s">
        <v>431</v>
      </c>
      <c r="C183" s="725">
        <v>0.127</v>
      </c>
      <c r="D183" s="725">
        <v>0.127</v>
      </c>
      <c r="E183" s="725">
        <v>0.128</v>
      </c>
      <c r="F183" s="737"/>
    </row>
    <row r="184" spans="1:6" ht="15" thickBot="1">
      <c r="A184" s="568" t="s">
        <v>525</v>
      </c>
      <c r="B184" s="562" t="s">
        <v>438</v>
      </c>
      <c r="C184" s="725">
        <v>0.125</v>
      </c>
      <c r="D184" s="725">
        <v>0.125</v>
      </c>
      <c r="E184" s="725">
        <v>0.127</v>
      </c>
      <c r="F184" s="737"/>
    </row>
    <row r="185" spans="1:6" ht="15" thickBot="1">
      <c r="A185" s="568" t="s">
        <v>525</v>
      </c>
      <c r="B185" s="562" t="s">
        <v>710</v>
      </c>
      <c r="C185" s="725">
        <v>0.127</v>
      </c>
      <c r="D185" s="725">
        <v>0.127</v>
      </c>
      <c r="E185" s="725">
        <v>0.128</v>
      </c>
      <c r="F185" s="726">
        <v>0.13</v>
      </c>
    </row>
    <row r="186" spans="1:6" ht="24.6" thickBot="1">
      <c r="A186" s="568" t="s">
        <v>525</v>
      </c>
      <c r="B186" s="562" t="s">
        <v>711</v>
      </c>
      <c r="C186" s="738"/>
      <c r="D186" s="738"/>
      <c r="E186" s="738"/>
      <c r="F186" s="726">
        <v>0.05</v>
      </c>
    </row>
    <row r="187" spans="1:6" ht="15" thickBot="1">
      <c r="A187" s="568" t="s">
        <v>525</v>
      </c>
      <c r="B187" s="562" t="s">
        <v>712</v>
      </c>
      <c r="C187" s="738"/>
      <c r="D187" s="738"/>
      <c r="E187" s="738"/>
      <c r="F187" s="726">
        <v>0.05</v>
      </c>
    </row>
    <row r="188" spans="1:6" ht="24.6" thickBot="1">
      <c r="A188" s="568" t="s">
        <v>525</v>
      </c>
      <c r="B188" s="562" t="s">
        <v>713</v>
      </c>
      <c r="C188" s="738"/>
      <c r="D188" s="738"/>
      <c r="E188" s="738"/>
      <c r="F188" s="726">
        <v>0.05</v>
      </c>
    </row>
    <row r="189" spans="1:6" ht="24.6" thickBot="1">
      <c r="A189" s="568" t="s">
        <v>525</v>
      </c>
      <c r="B189" s="562" t="s">
        <v>714</v>
      </c>
      <c r="C189" s="738"/>
      <c r="D189" s="738"/>
      <c r="E189" s="738"/>
      <c r="F189" s="726">
        <v>0.05</v>
      </c>
    </row>
    <row r="190" spans="1:6" ht="24.6" thickBot="1">
      <c r="A190" s="568" t="s">
        <v>525</v>
      </c>
      <c r="B190" s="562" t="s">
        <v>715</v>
      </c>
      <c r="C190" s="738"/>
      <c r="D190" s="738"/>
      <c r="E190" s="738"/>
      <c r="F190" s="726">
        <v>0.05</v>
      </c>
    </row>
    <row r="191" spans="1:6" ht="24.6" thickBot="1">
      <c r="A191" s="568" t="s">
        <v>525</v>
      </c>
      <c r="B191" s="562" t="s">
        <v>716</v>
      </c>
      <c r="C191" s="738"/>
      <c r="D191" s="738"/>
      <c r="E191" s="738"/>
      <c r="F191" s="726">
        <v>0.05</v>
      </c>
    </row>
    <row r="192" spans="1:6" ht="24.6" thickBot="1">
      <c r="A192" s="568" t="s">
        <v>525</v>
      </c>
      <c r="B192" s="562" t="s">
        <v>717</v>
      </c>
      <c r="C192" s="738"/>
      <c r="D192" s="738"/>
      <c r="E192" s="738"/>
      <c r="F192" s="726">
        <v>0.05</v>
      </c>
    </row>
    <row r="193" spans="1:6" ht="24.6" thickBot="1">
      <c r="A193" s="568" t="s">
        <v>525</v>
      </c>
      <c r="B193" s="562" t="s">
        <v>718</v>
      </c>
      <c r="C193" s="738"/>
      <c r="D193" s="738"/>
      <c r="E193" s="738"/>
      <c r="F193" s="726">
        <v>0.05</v>
      </c>
    </row>
    <row r="194" spans="1:6" ht="24.6" thickBot="1">
      <c r="A194" s="568" t="s">
        <v>525</v>
      </c>
      <c r="B194" s="562" t="s">
        <v>719</v>
      </c>
      <c r="C194" s="738"/>
      <c r="D194" s="738"/>
      <c r="E194" s="738"/>
      <c r="F194" s="726">
        <v>0.05</v>
      </c>
    </row>
    <row r="195" spans="1:6" ht="15" thickBot="1">
      <c r="A195" s="568" t="s">
        <v>525</v>
      </c>
      <c r="B195" s="562" t="s">
        <v>720</v>
      </c>
      <c r="C195" s="738"/>
      <c r="D195" s="738"/>
      <c r="E195" s="738"/>
      <c r="F195" s="726">
        <v>0.05</v>
      </c>
    </row>
    <row r="196" spans="1:6" ht="24.6" thickBot="1">
      <c r="A196" s="568" t="s">
        <v>525</v>
      </c>
      <c r="B196" s="562" t="s">
        <v>721</v>
      </c>
      <c r="C196" s="738"/>
      <c r="D196" s="738"/>
      <c r="E196" s="738"/>
      <c r="F196" s="726">
        <v>0.05</v>
      </c>
    </row>
    <row r="197" spans="1:6" ht="24.6" thickBot="1">
      <c r="A197" s="568" t="s">
        <v>525</v>
      </c>
      <c r="B197" s="562" t="s">
        <v>722</v>
      </c>
      <c r="C197" s="738"/>
      <c r="D197" s="738"/>
      <c r="E197" s="738"/>
      <c r="F197" s="726">
        <v>0.05</v>
      </c>
    </row>
    <row r="198" spans="1:6" ht="24.6" thickBot="1">
      <c r="A198" s="568" t="s">
        <v>525</v>
      </c>
      <c r="B198" s="562" t="s">
        <v>723</v>
      </c>
      <c r="C198" s="738"/>
      <c r="D198" s="738"/>
      <c r="E198" s="738"/>
      <c r="F198" s="726">
        <v>0.05</v>
      </c>
    </row>
    <row r="199" spans="1:6" ht="24.6" thickBot="1">
      <c r="A199" s="568" t="s">
        <v>525</v>
      </c>
      <c r="B199" s="562" t="s">
        <v>724</v>
      </c>
      <c r="C199" s="738"/>
      <c r="D199" s="738"/>
      <c r="E199" s="738"/>
      <c r="F199" s="726">
        <v>0.05</v>
      </c>
    </row>
    <row r="200" spans="1:6" ht="24.6" thickBot="1">
      <c r="A200" s="568" t="s">
        <v>525</v>
      </c>
      <c r="B200" s="562" t="s">
        <v>725</v>
      </c>
      <c r="C200" s="738"/>
      <c r="D200" s="738"/>
      <c r="E200" s="738"/>
      <c r="F200" s="726">
        <v>0.05</v>
      </c>
    </row>
    <row r="201" spans="1:6" ht="24.6" thickBot="1">
      <c r="A201" s="568" t="s">
        <v>525</v>
      </c>
      <c r="B201" s="562" t="s">
        <v>726</v>
      </c>
      <c r="C201" s="738"/>
      <c r="D201" s="738"/>
      <c r="E201" s="738"/>
      <c r="F201" s="726">
        <v>0.05</v>
      </c>
    </row>
    <row r="202" spans="1:6" ht="24.6" thickBot="1">
      <c r="A202" s="568" t="s">
        <v>525</v>
      </c>
      <c r="B202" s="562" t="s">
        <v>727</v>
      </c>
      <c r="C202" s="738"/>
      <c r="D202" s="738"/>
      <c r="E202" s="738"/>
      <c r="F202" s="726">
        <v>0.05</v>
      </c>
    </row>
    <row r="203" spans="1:6" ht="24.6" thickBot="1">
      <c r="A203" s="568" t="s">
        <v>525</v>
      </c>
      <c r="B203" s="562" t="s">
        <v>728</v>
      </c>
      <c r="C203" s="738"/>
      <c r="D203" s="738"/>
      <c r="E203" s="738"/>
      <c r="F203" s="726">
        <v>0.05</v>
      </c>
    </row>
    <row r="204" spans="1:6" ht="15" thickBot="1">
      <c r="A204" s="568" t="s">
        <v>525</v>
      </c>
      <c r="B204" s="562" t="s">
        <v>729</v>
      </c>
      <c r="C204" s="738"/>
      <c r="D204" s="738"/>
      <c r="E204" s="738"/>
      <c r="F204" s="726">
        <v>0.05</v>
      </c>
    </row>
    <row r="205" spans="1:6" ht="15" thickBot="1">
      <c r="A205" s="578" t="s">
        <v>525</v>
      </c>
      <c r="B205" s="574" t="s">
        <v>730</v>
      </c>
      <c r="C205" s="735"/>
      <c r="D205" s="735"/>
      <c r="E205" s="735"/>
      <c r="F205" s="728">
        <v>0.05</v>
      </c>
    </row>
    <row r="206" spans="1:6" ht="15" thickBot="1">
      <c r="A206" s="568" t="s">
        <v>527</v>
      </c>
      <c r="B206" s="569" t="s">
        <v>731</v>
      </c>
      <c r="C206" s="723">
        <v>0.15</v>
      </c>
      <c r="D206" s="723">
        <v>0.15</v>
      </c>
      <c r="E206" s="723">
        <v>0.15</v>
      </c>
      <c r="F206" s="724">
        <v>0.15</v>
      </c>
    </row>
    <row r="207" spans="1:6" ht="15" thickBot="1">
      <c r="A207" s="568" t="s">
        <v>527</v>
      </c>
      <c r="B207" s="562" t="s">
        <v>193</v>
      </c>
      <c r="C207" s="725">
        <v>0.15</v>
      </c>
      <c r="D207" s="725">
        <v>0.15</v>
      </c>
      <c r="E207" s="725">
        <v>0.15</v>
      </c>
      <c r="F207" s="726">
        <v>0.14399999999999999</v>
      </c>
    </row>
    <row r="208" spans="1:6" ht="15" thickBot="1">
      <c r="A208" s="568" t="s">
        <v>527</v>
      </c>
      <c r="B208" s="562" t="s">
        <v>206</v>
      </c>
      <c r="C208" s="725">
        <v>0.15</v>
      </c>
      <c r="D208" s="725">
        <v>0.15</v>
      </c>
      <c r="E208" s="725">
        <v>0.15</v>
      </c>
      <c r="F208" s="726">
        <v>0.15</v>
      </c>
    </row>
    <row r="209" spans="1:6" ht="15" thickBot="1">
      <c r="A209" s="568" t="s">
        <v>527</v>
      </c>
      <c r="B209" s="562" t="s">
        <v>219</v>
      </c>
      <c r="C209" s="725">
        <v>0.13700000000000001</v>
      </c>
      <c r="D209" s="725">
        <v>0.13700000000000001</v>
      </c>
      <c r="E209" s="725">
        <v>0.14000000000000001</v>
      </c>
      <c r="F209" s="726">
        <v>0.11700000000000001</v>
      </c>
    </row>
    <row r="210" spans="1:6" ht="15" thickBot="1">
      <c r="A210" s="568" t="s">
        <v>527</v>
      </c>
      <c r="B210" s="562" t="s">
        <v>732</v>
      </c>
      <c r="C210" s="725">
        <v>0.15</v>
      </c>
      <c r="D210" s="725">
        <v>0.15</v>
      </c>
      <c r="E210" s="725">
        <v>0.15</v>
      </c>
      <c r="F210" s="726">
        <v>0.13800000000000001</v>
      </c>
    </row>
    <row r="211" spans="1:6" ht="15" thickBot="1">
      <c r="A211" s="568" t="s">
        <v>527</v>
      </c>
      <c r="B211" s="562" t="s">
        <v>733</v>
      </c>
      <c r="C211" s="725">
        <v>0.13700000000000001</v>
      </c>
      <c r="D211" s="725">
        <v>0.13500000000000001</v>
      </c>
      <c r="E211" s="725">
        <v>0.13600000000000001</v>
      </c>
      <c r="F211" s="726">
        <v>0.1</v>
      </c>
    </row>
    <row r="212" spans="1:6" ht="15" thickBot="1">
      <c r="A212" s="568" t="s">
        <v>527</v>
      </c>
      <c r="B212" s="562" t="s">
        <v>734</v>
      </c>
      <c r="C212" s="725">
        <v>0.15</v>
      </c>
      <c r="D212" s="725">
        <v>0.15</v>
      </c>
      <c r="E212" s="725">
        <v>0.14799999999999999</v>
      </c>
      <c r="F212" s="726">
        <v>0.13600000000000001</v>
      </c>
    </row>
    <row r="213" spans="1:6" ht="15" thickBot="1">
      <c r="A213" s="568" t="s">
        <v>527</v>
      </c>
      <c r="B213" s="562" t="s">
        <v>264</v>
      </c>
      <c r="C213" s="725">
        <v>0.15</v>
      </c>
      <c r="D213" s="725">
        <v>0.15</v>
      </c>
      <c r="E213" s="725">
        <v>0.15</v>
      </c>
      <c r="F213" s="726">
        <v>0.13800000000000001</v>
      </c>
    </row>
    <row r="214" spans="1:6" ht="15" thickBot="1">
      <c r="A214" s="568" t="s">
        <v>527</v>
      </c>
      <c r="B214" s="562" t="s">
        <v>276</v>
      </c>
      <c r="C214" s="725">
        <v>9.0999999999999998E-2</v>
      </c>
      <c r="D214" s="725">
        <v>0.09</v>
      </c>
      <c r="E214" s="725">
        <v>9.1999999999999998E-2</v>
      </c>
      <c r="F214" s="737"/>
    </row>
    <row r="215" spans="1:6" ht="15" thickBot="1">
      <c r="A215" s="568" t="s">
        <v>527</v>
      </c>
      <c r="B215" s="562" t="s">
        <v>735</v>
      </c>
      <c r="C215" s="725">
        <v>0.15</v>
      </c>
      <c r="D215" s="725">
        <v>0.15</v>
      </c>
      <c r="E215" s="725">
        <v>0.15</v>
      </c>
      <c r="F215" s="726">
        <v>0.15</v>
      </c>
    </row>
    <row r="216" spans="1:6" ht="15" thickBot="1">
      <c r="A216" s="568" t="s">
        <v>527</v>
      </c>
      <c r="B216" s="562" t="s">
        <v>296</v>
      </c>
      <c r="C216" s="725">
        <v>0.14699999999999999</v>
      </c>
      <c r="D216" s="725">
        <v>0.14699999999999999</v>
      </c>
      <c r="E216" s="725">
        <v>0.15</v>
      </c>
      <c r="F216" s="726">
        <v>0.14000000000000001</v>
      </c>
    </row>
    <row r="217" spans="1:6" ht="15" thickBot="1">
      <c r="A217" s="568" t="s">
        <v>527</v>
      </c>
      <c r="B217" s="562" t="s">
        <v>306</v>
      </c>
      <c r="C217" s="725">
        <v>0.15</v>
      </c>
      <c r="D217" s="725">
        <v>0.15</v>
      </c>
      <c r="E217" s="725">
        <v>0.15</v>
      </c>
      <c r="F217" s="726">
        <v>0.15</v>
      </c>
    </row>
    <row r="218" spans="1:6" ht="15" thickBot="1">
      <c r="A218" s="568" t="s">
        <v>527</v>
      </c>
      <c r="B218" s="562" t="s">
        <v>736</v>
      </c>
      <c r="C218" s="725">
        <v>0.15</v>
      </c>
      <c r="D218" s="725">
        <v>0.15</v>
      </c>
      <c r="E218" s="725">
        <v>0.15</v>
      </c>
      <c r="F218" s="726">
        <v>0.15</v>
      </c>
    </row>
    <row r="219" spans="1:6" ht="15" thickBot="1">
      <c r="A219" s="568" t="s">
        <v>527</v>
      </c>
      <c r="B219" s="562" t="s">
        <v>327</v>
      </c>
      <c r="C219" s="725">
        <v>0.15</v>
      </c>
      <c r="D219" s="725">
        <v>0.15</v>
      </c>
      <c r="E219" s="725">
        <v>0.15</v>
      </c>
      <c r="F219" s="726">
        <v>0.14799999999999999</v>
      </c>
    </row>
    <row r="220" spans="1:6" ht="15" thickBot="1">
      <c r="A220" s="568" t="s">
        <v>527</v>
      </c>
      <c r="B220" s="562" t="s">
        <v>737</v>
      </c>
      <c r="C220" s="725">
        <v>0.15</v>
      </c>
      <c r="D220" s="725">
        <v>0.15</v>
      </c>
      <c r="E220" s="725">
        <v>0.15</v>
      </c>
      <c r="F220" s="726">
        <v>0.15</v>
      </c>
    </row>
    <row r="221" spans="1:6" ht="15" thickBot="1">
      <c r="A221" s="568" t="s">
        <v>527</v>
      </c>
      <c r="B221" s="562" t="s">
        <v>348</v>
      </c>
      <c r="C221" s="725"/>
      <c r="D221" s="738"/>
      <c r="E221" s="738"/>
      <c r="F221" s="726">
        <v>0.14799999999999999</v>
      </c>
    </row>
    <row r="222" spans="1:6" ht="15" thickBot="1">
      <c r="A222" s="568" t="s">
        <v>527</v>
      </c>
      <c r="B222" s="562" t="s">
        <v>358</v>
      </c>
      <c r="C222" s="725"/>
      <c r="D222" s="738"/>
      <c r="E222" s="738"/>
      <c r="F222" s="726">
        <v>0.1</v>
      </c>
    </row>
    <row r="223" spans="1:6" ht="15" thickBot="1">
      <c r="A223" s="568" t="s">
        <v>527</v>
      </c>
      <c r="B223" s="562" t="s">
        <v>368</v>
      </c>
      <c r="C223" s="725"/>
      <c r="D223" s="738"/>
      <c r="E223" s="738"/>
      <c r="F223" s="726">
        <v>0.15</v>
      </c>
    </row>
    <row r="224" spans="1:6" ht="15" thickBot="1">
      <c r="A224" s="568" t="s">
        <v>527</v>
      </c>
      <c r="B224" s="562" t="s">
        <v>378</v>
      </c>
      <c r="C224" s="725"/>
      <c r="D224" s="738"/>
      <c r="E224" s="738"/>
      <c r="F224" s="726">
        <v>0.15</v>
      </c>
    </row>
    <row r="225" spans="1:6" ht="15" thickBot="1">
      <c r="A225" s="568" t="s">
        <v>527</v>
      </c>
      <c r="B225" s="562" t="s">
        <v>738</v>
      </c>
      <c r="C225" s="725">
        <v>0.15</v>
      </c>
      <c r="D225" s="725">
        <v>0.15</v>
      </c>
      <c r="E225" s="725">
        <v>0.15</v>
      </c>
      <c r="F225" s="726">
        <v>0.15</v>
      </c>
    </row>
    <row r="226" spans="1:6" ht="15" thickBot="1">
      <c r="A226" s="568" t="s">
        <v>527</v>
      </c>
      <c r="B226" s="562" t="s">
        <v>396</v>
      </c>
      <c r="C226" s="725">
        <v>0.15</v>
      </c>
      <c r="D226" s="725">
        <v>0.15</v>
      </c>
      <c r="E226" s="725">
        <v>0.15</v>
      </c>
      <c r="F226" s="726">
        <v>0.14799999999999999</v>
      </c>
    </row>
    <row r="227" spans="1:6" ht="15" thickBot="1">
      <c r="A227" s="568" t="s">
        <v>527</v>
      </c>
      <c r="B227" s="562" t="s">
        <v>739</v>
      </c>
      <c r="C227" s="725">
        <v>0.15</v>
      </c>
      <c r="D227" s="725">
        <v>0.15</v>
      </c>
      <c r="E227" s="725">
        <v>0.15</v>
      </c>
      <c r="F227" s="726">
        <v>0.15</v>
      </c>
    </row>
    <row r="228" spans="1:6" ht="15" thickBot="1">
      <c r="A228" s="568" t="s">
        <v>527</v>
      </c>
      <c r="B228" s="562" t="s">
        <v>411</v>
      </c>
      <c r="C228" s="725">
        <v>0.15</v>
      </c>
      <c r="D228" s="725">
        <v>0.15</v>
      </c>
      <c r="E228" s="725">
        <v>0.15</v>
      </c>
      <c r="F228" s="726">
        <v>0.15</v>
      </c>
    </row>
    <row r="229" spans="1:6" ht="15" thickBot="1">
      <c r="A229" s="568" t="s">
        <v>527</v>
      </c>
      <c r="B229" s="562" t="s">
        <v>418</v>
      </c>
      <c r="C229" s="725">
        <v>0.15</v>
      </c>
      <c r="D229" s="725">
        <v>0.15</v>
      </c>
      <c r="E229" s="725">
        <v>0.15</v>
      </c>
      <c r="F229" s="737"/>
    </row>
    <row r="230" spans="1:6" ht="15" thickBot="1">
      <c r="A230" s="568" t="s">
        <v>527</v>
      </c>
      <c r="B230" s="562" t="s">
        <v>425</v>
      </c>
      <c r="C230" s="725">
        <v>0.14499999999999999</v>
      </c>
      <c r="D230" s="725">
        <v>0.14499999999999999</v>
      </c>
      <c r="E230" s="725">
        <v>0.14399999999999999</v>
      </c>
      <c r="F230" s="737"/>
    </row>
    <row r="231" spans="1:6" ht="15" thickBot="1">
      <c r="A231" s="568" t="s">
        <v>527</v>
      </c>
      <c r="B231" s="562" t="s">
        <v>740</v>
      </c>
      <c r="C231" s="725">
        <v>0.128</v>
      </c>
      <c r="D231" s="725">
        <v>0.125</v>
      </c>
      <c r="E231" s="725">
        <v>0.13200000000000001</v>
      </c>
      <c r="F231" s="737"/>
    </row>
    <row r="232" spans="1:6" ht="15" thickBot="1">
      <c r="A232" s="568" t="s">
        <v>527</v>
      </c>
      <c r="B232" s="562" t="s">
        <v>741</v>
      </c>
      <c r="C232" s="725">
        <v>0.14499999999999999</v>
      </c>
      <c r="D232" s="725">
        <v>0.14399999999999999</v>
      </c>
      <c r="E232" s="725">
        <v>0.14599999999999999</v>
      </c>
      <c r="F232" s="726">
        <v>0.13800000000000001</v>
      </c>
    </row>
    <row r="233" spans="1:6" ht="15" thickBot="1">
      <c r="A233" s="568" t="s">
        <v>527</v>
      </c>
      <c r="B233" s="562" t="s">
        <v>742</v>
      </c>
      <c r="C233" s="725">
        <v>0.14499999999999999</v>
      </c>
      <c r="D233" s="725">
        <v>0.14299999999999999</v>
      </c>
      <c r="E233" s="725">
        <v>0.14199999999999999</v>
      </c>
      <c r="F233" s="737"/>
    </row>
    <row r="234" spans="1:6" ht="15" thickBot="1">
      <c r="A234" s="568" t="s">
        <v>527</v>
      </c>
      <c r="B234" s="562" t="s">
        <v>743</v>
      </c>
      <c r="C234" s="725">
        <v>0.14000000000000001</v>
      </c>
      <c r="D234" s="725">
        <v>0.14000000000000001</v>
      </c>
      <c r="E234" s="725">
        <v>0.14399999999999999</v>
      </c>
      <c r="F234" s="737"/>
    </row>
    <row r="235" spans="1:6" ht="15" thickBot="1">
      <c r="A235" s="568" t="s">
        <v>527</v>
      </c>
      <c r="B235" s="562" t="s">
        <v>744</v>
      </c>
      <c r="C235" s="725">
        <v>0.14099999999999999</v>
      </c>
      <c r="D235" s="725">
        <v>0.14199999999999999</v>
      </c>
      <c r="E235" s="725">
        <v>0.14499999999999999</v>
      </c>
      <c r="F235" s="726">
        <v>0.15</v>
      </c>
    </row>
    <row r="236" spans="1:6" ht="15" thickBot="1">
      <c r="A236" s="568" t="s">
        <v>527</v>
      </c>
      <c r="B236" s="562" t="s">
        <v>460</v>
      </c>
      <c r="C236" s="738"/>
      <c r="D236" s="738"/>
      <c r="E236" s="738"/>
      <c r="F236" s="726">
        <v>0.14299999999999999</v>
      </c>
    </row>
    <row r="237" spans="1:6" ht="24.6" thickBot="1">
      <c r="A237" s="568" t="s">
        <v>527</v>
      </c>
      <c r="B237" s="562" t="s">
        <v>745</v>
      </c>
      <c r="C237" s="738"/>
      <c r="D237" s="738"/>
      <c r="E237" s="738"/>
      <c r="F237" s="726">
        <v>0.05</v>
      </c>
    </row>
    <row r="238" spans="1:6" ht="24.6" thickBot="1">
      <c r="A238" s="568" t="s">
        <v>527</v>
      </c>
      <c r="B238" s="562" t="s">
        <v>746</v>
      </c>
      <c r="C238" s="738"/>
      <c r="D238" s="738"/>
      <c r="E238" s="738"/>
      <c r="F238" s="726">
        <v>0.05</v>
      </c>
    </row>
    <row r="239" spans="1:6" ht="24.6" thickBot="1">
      <c r="A239" s="568" t="s">
        <v>527</v>
      </c>
      <c r="B239" s="562" t="s">
        <v>747</v>
      </c>
      <c r="C239" s="738"/>
      <c r="D239" s="738"/>
      <c r="E239" s="738"/>
      <c r="F239" s="726">
        <v>0.05</v>
      </c>
    </row>
    <row r="240" spans="1:6" ht="24.6" thickBot="1">
      <c r="A240" s="568" t="s">
        <v>527</v>
      </c>
      <c r="B240" s="562" t="s">
        <v>748</v>
      </c>
      <c r="C240" s="738"/>
      <c r="D240" s="738"/>
      <c r="E240" s="738"/>
      <c r="F240" s="726">
        <v>0.05</v>
      </c>
    </row>
    <row r="241" spans="1:6" ht="24.6" thickBot="1">
      <c r="A241" s="568" t="s">
        <v>527</v>
      </c>
      <c r="B241" s="562" t="s">
        <v>749</v>
      </c>
      <c r="C241" s="738"/>
      <c r="D241" s="738"/>
      <c r="E241" s="738"/>
      <c r="F241" s="726">
        <v>0.05</v>
      </c>
    </row>
    <row r="242" spans="1:6" ht="24.6" thickBot="1">
      <c r="A242" s="568" t="s">
        <v>527</v>
      </c>
      <c r="B242" s="562" t="s">
        <v>750</v>
      </c>
      <c r="C242" s="738"/>
      <c r="D242" s="738"/>
      <c r="E242" s="738"/>
      <c r="F242" s="726">
        <v>0.05</v>
      </c>
    </row>
    <row r="243" spans="1:6" ht="24.6" thickBot="1">
      <c r="A243" s="568" t="s">
        <v>527</v>
      </c>
      <c r="B243" s="562" t="s">
        <v>751</v>
      </c>
      <c r="C243" s="738"/>
      <c r="D243" s="738"/>
      <c r="E243" s="738"/>
      <c r="F243" s="726">
        <v>0.05</v>
      </c>
    </row>
    <row r="244" spans="1:6" ht="24.6" thickBot="1">
      <c r="A244" s="578" t="s">
        <v>527</v>
      </c>
      <c r="B244" s="574" t="s">
        <v>752</v>
      </c>
      <c r="C244" s="735"/>
      <c r="D244" s="735"/>
      <c r="E244" s="735"/>
      <c r="F244" s="728">
        <v>0.05</v>
      </c>
    </row>
    <row r="245" spans="1:6" ht="15" thickBot="1">
      <c r="A245" s="568" t="s">
        <v>529</v>
      </c>
      <c r="B245" s="569" t="s">
        <v>753</v>
      </c>
      <c r="C245" s="723">
        <v>0.15</v>
      </c>
      <c r="D245" s="723">
        <v>0.15</v>
      </c>
      <c r="E245" s="723">
        <v>0.15</v>
      </c>
      <c r="F245" s="724">
        <v>0.14299999999999999</v>
      </c>
    </row>
    <row r="246" spans="1:6" ht="15" thickBot="1">
      <c r="A246" s="568" t="s">
        <v>529</v>
      </c>
      <c r="B246" s="562" t="s">
        <v>194</v>
      </c>
      <c r="C246" s="725">
        <v>0.15</v>
      </c>
      <c r="D246" s="725">
        <v>0.15</v>
      </c>
      <c r="E246" s="725">
        <v>0.15</v>
      </c>
      <c r="F246" s="726">
        <v>0.114</v>
      </c>
    </row>
    <row r="247" spans="1:6" ht="15" thickBot="1">
      <c r="A247" s="568" t="s">
        <v>529</v>
      </c>
      <c r="B247" s="562" t="s">
        <v>754</v>
      </c>
      <c r="C247" s="725">
        <v>0.15</v>
      </c>
      <c r="D247" s="725">
        <v>0.15</v>
      </c>
      <c r="E247" s="725">
        <v>0.15</v>
      </c>
      <c r="F247" s="726">
        <v>0.15</v>
      </c>
    </row>
    <row r="248" spans="1:6" ht="15" thickBot="1">
      <c r="A248" s="568" t="s">
        <v>529</v>
      </c>
      <c r="B248" s="562" t="s">
        <v>755</v>
      </c>
      <c r="C248" s="725">
        <v>0.15</v>
      </c>
      <c r="D248" s="725">
        <v>0.15</v>
      </c>
      <c r="E248" s="725">
        <v>0.15</v>
      </c>
      <c r="F248" s="726">
        <v>0.14000000000000001</v>
      </c>
    </row>
    <row r="249" spans="1:6" ht="15" thickBot="1">
      <c r="A249" s="568" t="s">
        <v>529</v>
      </c>
      <c r="B249" s="562" t="s">
        <v>756</v>
      </c>
      <c r="C249" s="725">
        <v>0.15</v>
      </c>
      <c r="D249" s="725">
        <v>0.14899999999999999</v>
      </c>
      <c r="E249" s="725">
        <v>0.15</v>
      </c>
      <c r="F249" s="726">
        <v>0.1</v>
      </c>
    </row>
    <row r="250" spans="1:6" ht="15" thickBot="1">
      <c r="A250" s="568" t="s">
        <v>529</v>
      </c>
      <c r="B250" s="562" t="s">
        <v>757</v>
      </c>
      <c r="C250" s="725">
        <v>0.15</v>
      </c>
      <c r="D250" s="725">
        <v>0.15</v>
      </c>
      <c r="E250" s="725">
        <v>0.15</v>
      </c>
      <c r="F250" s="726">
        <v>0.14399999999999999</v>
      </c>
    </row>
    <row r="251" spans="1:6" ht="15" thickBot="1">
      <c r="A251" s="568" t="s">
        <v>529</v>
      </c>
      <c r="B251" s="562" t="s">
        <v>254</v>
      </c>
      <c r="C251" s="725">
        <v>0.15</v>
      </c>
      <c r="D251" s="725">
        <v>0.15</v>
      </c>
      <c r="E251" s="725">
        <v>0.15</v>
      </c>
      <c r="F251" s="726">
        <v>0.14299999999999999</v>
      </c>
    </row>
    <row r="252" spans="1:6" ht="15" thickBot="1">
      <c r="A252" s="568" t="s">
        <v>529</v>
      </c>
      <c r="B252" s="562" t="s">
        <v>265</v>
      </c>
      <c r="C252" s="725">
        <v>0.15</v>
      </c>
      <c r="D252" s="725">
        <v>0.15</v>
      </c>
      <c r="E252" s="725">
        <v>0.15</v>
      </c>
      <c r="F252" s="726">
        <v>0.1</v>
      </c>
    </row>
    <row r="253" spans="1:6" ht="15" thickBot="1">
      <c r="A253" s="568" t="s">
        <v>529</v>
      </c>
      <c r="B253" s="562" t="s">
        <v>277</v>
      </c>
      <c r="C253" s="725">
        <v>0.15</v>
      </c>
      <c r="D253" s="725">
        <v>0.15</v>
      </c>
      <c r="E253" s="725">
        <v>0.15</v>
      </c>
      <c r="F253" s="726">
        <v>0.1</v>
      </c>
    </row>
    <row r="254" spans="1:6" ht="15" thickBot="1">
      <c r="A254" s="568" t="s">
        <v>529</v>
      </c>
      <c r="B254" s="562" t="s">
        <v>287</v>
      </c>
      <c r="C254" s="738"/>
      <c r="D254" s="738"/>
      <c r="E254" s="738"/>
      <c r="F254" s="726">
        <v>0.15</v>
      </c>
    </row>
    <row r="255" spans="1:6" ht="15" thickBot="1">
      <c r="A255" s="568" t="s">
        <v>529</v>
      </c>
      <c r="B255" s="562" t="s">
        <v>297</v>
      </c>
      <c r="C255" s="738"/>
      <c r="D255" s="738"/>
      <c r="E255" s="738"/>
      <c r="F255" s="726">
        <v>0.14299999999999999</v>
      </c>
    </row>
    <row r="256" spans="1:6" ht="15" thickBot="1">
      <c r="A256" s="568" t="s">
        <v>529</v>
      </c>
      <c r="B256" s="562" t="s">
        <v>758</v>
      </c>
      <c r="C256" s="725">
        <v>0.14599999999999999</v>
      </c>
      <c r="D256" s="725">
        <v>0.14699999999999999</v>
      </c>
      <c r="E256" s="725">
        <v>0.15</v>
      </c>
      <c r="F256" s="726">
        <v>0.13200000000000001</v>
      </c>
    </row>
    <row r="257" spans="1:6" ht="15" thickBot="1">
      <c r="A257" s="568" t="s">
        <v>529</v>
      </c>
      <c r="B257" s="562" t="s">
        <v>317</v>
      </c>
      <c r="C257" s="725">
        <v>0.15</v>
      </c>
      <c r="D257" s="725">
        <v>0.15</v>
      </c>
      <c r="E257" s="725">
        <v>0.15</v>
      </c>
      <c r="F257" s="726">
        <v>0.13900000000000001</v>
      </c>
    </row>
    <row r="258" spans="1:6" ht="15" thickBot="1">
      <c r="A258" s="568" t="s">
        <v>529</v>
      </c>
      <c r="B258" s="562" t="s">
        <v>328</v>
      </c>
      <c r="C258" s="725">
        <v>0.15</v>
      </c>
      <c r="D258" s="725">
        <v>0.15</v>
      </c>
      <c r="E258" s="725">
        <v>0.15</v>
      </c>
      <c r="F258" s="726">
        <v>0.13</v>
      </c>
    </row>
    <row r="259" spans="1:6" ht="15" thickBot="1">
      <c r="A259" s="568" t="s">
        <v>529</v>
      </c>
      <c r="B259" s="562" t="s">
        <v>759</v>
      </c>
      <c r="C259" s="725">
        <v>0.14799999999999999</v>
      </c>
      <c r="D259" s="725">
        <v>0.14899999999999999</v>
      </c>
      <c r="E259" s="725">
        <v>0.15</v>
      </c>
      <c r="F259" s="726">
        <v>0.13700000000000001</v>
      </c>
    </row>
    <row r="260" spans="1:6" ht="15" thickBot="1">
      <c r="A260" s="568" t="s">
        <v>529</v>
      </c>
      <c r="B260" s="562" t="s">
        <v>349</v>
      </c>
      <c r="C260" s="725">
        <v>0.15</v>
      </c>
      <c r="D260" s="725">
        <v>0.15</v>
      </c>
      <c r="E260" s="725">
        <v>0.15</v>
      </c>
      <c r="F260" s="726">
        <v>0.14199999999999999</v>
      </c>
    </row>
    <row r="261" spans="1:6" ht="15" thickBot="1">
      <c r="A261" s="568" t="s">
        <v>529</v>
      </c>
      <c r="B261" s="562" t="s">
        <v>359</v>
      </c>
      <c r="C261" s="725">
        <v>0.15</v>
      </c>
      <c r="D261" s="725">
        <v>0.15</v>
      </c>
      <c r="E261" s="725">
        <v>0.14899999999999999</v>
      </c>
      <c r="F261" s="726">
        <v>0.14799999999999999</v>
      </c>
    </row>
    <row r="262" spans="1:6" ht="15" thickBot="1">
      <c r="A262" s="568" t="s">
        <v>529</v>
      </c>
      <c r="B262" s="562" t="s">
        <v>369</v>
      </c>
      <c r="C262" s="725">
        <v>0.15</v>
      </c>
      <c r="D262" s="725">
        <v>0.15</v>
      </c>
      <c r="E262" s="725">
        <v>0.15</v>
      </c>
      <c r="F262" s="737"/>
    </row>
    <row r="263" spans="1:6" ht="15" thickBot="1">
      <c r="A263" s="568" t="s">
        <v>529</v>
      </c>
      <c r="B263" s="562" t="s">
        <v>760</v>
      </c>
      <c r="C263" s="725">
        <v>0.14899999999999999</v>
      </c>
      <c r="D263" s="725">
        <v>0.14899999999999999</v>
      </c>
      <c r="E263" s="725">
        <v>0.15</v>
      </c>
      <c r="F263" s="726">
        <v>0.13</v>
      </c>
    </row>
    <row r="264" spans="1:6" ht="15" thickBot="1">
      <c r="A264" s="568" t="s">
        <v>529</v>
      </c>
      <c r="B264" s="562" t="s">
        <v>388</v>
      </c>
      <c r="C264" s="725">
        <v>0.14799999999999999</v>
      </c>
      <c r="D264" s="725">
        <v>0.14699999999999999</v>
      </c>
      <c r="E264" s="725">
        <v>0.15</v>
      </c>
      <c r="F264" s="726">
        <v>7.8E-2</v>
      </c>
    </row>
    <row r="265" spans="1:6" ht="15" thickBot="1">
      <c r="A265" s="568" t="s">
        <v>529</v>
      </c>
      <c r="B265" s="562" t="s">
        <v>397</v>
      </c>
      <c r="C265" s="725">
        <v>0.15</v>
      </c>
      <c r="D265" s="725">
        <v>0.15</v>
      </c>
      <c r="E265" s="725">
        <v>0.15</v>
      </c>
      <c r="F265" s="726">
        <v>7.3999999999999996E-2</v>
      </c>
    </row>
    <row r="266" spans="1:6" ht="15" thickBot="1">
      <c r="A266" s="568" t="s">
        <v>529</v>
      </c>
      <c r="B266" s="562" t="s">
        <v>405</v>
      </c>
      <c r="C266" s="725">
        <v>0.14699999999999999</v>
      </c>
      <c r="D266" s="725">
        <v>0.14699999999999999</v>
      </c>
      <c r="E266" s="725">
        <v>0.15</v>
      </c>
      <c r="F266" s="726">
        <v>0.14299999999999999</v>
      </c>
    </row>
    <row r="267" spans="1:6" ht="15" thickBot="1">
      <c r="A267" s="568" t="s">
        <v>529</v>
      </c>
      <c r="B267" s="562" t="s">
        <v>412</v>
      </c>
      <c r="C267" s="725">
        <v>0.14199999999999999</v>
      </c>
      <c r="D267" s="725">
        <v>0.14299999999999999</v>
      </c>
      <c r="E267" s="725">
        <v>0.15</v>
      </c>
      <c r="F267" s="737"/>
    </row>
    <row r="268" spans="1:6" ht="15" thickBot="1">
      <c r="A268" s="568" t="s">
        <v>529</v>
      </c>
      <c r="B268" s="562" t="s">
        <v>761</v>
      </c>
      <c r="C268" s="725">
        <v>0.15</v>
      </c>
      <c r="D268" s="725">
        <v>0.15</v>
      </c>
      <c r="E268" s="725">
        <v>0.15</v>
      </c>
      <c r="F268" s="726">
        <v>0.13</v>
      </c>
    </row>
    <row r="269" spans="1:6" ht="15" thickBot="1">
      <c r="A269" s="568" t="s">
        <v>529</v>
      </c>
      <c r="B269" s="562" t="s">
        <v>426</v>
      </c>
      <c r="C269" s="725">
        <v>0.15</v>
      </c>
      <c r="D269" s="725">
        <v>0.15</v>
      </c>
      <c r="E269" s="725">
        <v>0.15</v>
      </c>
      <c r="F269" s="726">
        <v>0.14299999999999999</v>
      </c>
    </row>
    <row r="270" spans="1:6" ht="15" thickBot="1">
      <c r="A270" s="568" t="s">
        <v>529</v>
      </c>
      <c r="B270" s="562" t="s">
        <v>433</v>
      </c>
      <c r="C270" s="725">
        <v>0.14499999999999999</v>
      </c>
      <c r="D270" s="725">
        <v>0.14499999999999999</v>
      </c>
      <c r="E270" s="725">
        <v>0.15</v>
      </c>
      <c r="F270" s="726">
        <v>0.14699999999999999</v>
      </c>
    </row>
    <row r="271" spans="1:6" ht="15" thickBot="1">
      <c r="A271" s="568" t="s">
        <v>529</v>
      </c>
      <c r="B271" s="562" t="s">
        <v>440</v>
      </c>
      <c r="C271" s="725">
        <v>0.15</v>
      </c>
      <c r="D271" s="725">
        <v>0.15</v>
      </c>
      <c r="E271" s="725">
        <v>0.15</v>
      </c>
      <c r="F271" s="726">
        <v>0.13800000000000001</v>
      </c>
    </row>
    <row r="272" spans="1:6" ht="15" thickBot="1">
      <c r="A272" s="568" t="s">
        <v>529</v>
      </c>
      <c r="B272" s="562" t="s">
        <v>447</v>
      </c>
      <c r="C272" s="738"/>
      <c r="D272" s="738"/>
      <c r="E272" s="738"/>
      <c r="F272" s="726">
        <v>0.14000000000000001</v>
      </c>
    </row>
    <row r="273" spans="1:6" ht="15" thickBot="1">
      <c r="A273" s="568" t="s">
        <v>529</v>
      </c>
      <c r="B273" s="562" t="s">
        <v>762</v>
      </c>
      <c r="C273" s="725">
        <v>0.14199999999999999</v>
      </c>
      <c r="D273" s="725">
        <v>0.14299999999999999</v>
      </c>
      <c r="E273" s="725">
        <v>0.15</v>
      </c>
      <c r="F273" s="726">
        <v>0.1</v>
      </c>
    </row>
    <row r="274" spans="1:6" ht="15" thickBot="1">
      <c r="A274" s="568" t="s">
        <v>529</v>
      </c>
      <c r="B274" s="562" t="s">
        <v>763</v>
      </c>
      <c r="C274" s="725">
        <v>0.14799999999999999</v>
      </c>
      <c r="D274" s="725">
        <v>0.14799999999999999</v>
      </c>
      <c r="E274" s="725">
        <v>0.15</v>
      </c>
      <c r="F274" s="726">
        <v>6.7000000000000004E-2</v>
      </c>
    </row>
    <row r="275" spans="1:6" ht="15" thickBot="1">
      <c r="A275" s="568" t="s">
        <v>529</v>
      </c>
      <c r="B275" s="562" t="s">
        <v>764</v>
      </c>
      <c r="C275" s="725">
        <v>0.15</v>
      </c>
      <c r="D275" s="725">
        <v>0.15</v>
      </c>
      <c r="E275" s="725">
        <v>0.15</v>
      </c>
      <c r="F275" s="726">
        <v>0.15</v>
      </c>
    </row>
    <row r="276" spans="1:6" ht="15" thickBot="1">
      <c r="A276" s="568" t="s">
        <v>529</v>
      </c>
      <c r="B276" s="562" t="s">
        <v>765</v>
      </c>
      <c r="C276" s="725">
        <v>0.14499999999999999</v>
      </c>
      <c r="D276" s="725">
        <v>0.14299999999999999</v>
      </c>
      <c r="E276" s="725">
        <v>0.15</v>
      </c>
      <c r="F276" s="726">
        <v>5.8999999999999997E-2</v>
      </c>
    </row>
    <row r="277" spans="1:6" ht="15" thickBot="1">
      <c r="A277" s="568" t="s">
        <v>529</v>
      </c>
      <c r="B277" s="562" t="s">
        <v>766</v>
      </c>
      <c r="C277" s="725">
        <v>0.15</v>
      </c>
      <c r="D277" s="725">
        <v>0.15</v>
      </c>
      <c r="E277" s="725">
        <v>0.15</v>
      </c>
      <c r="F277" s="726">
        <v>0.121</v>
      </c>
    </row>
    <row r="278" spans="1:6" ht="15" thickBot="1">
      <c r="A278" s="568" t="s">
        <v>529</v>
      </c>
      <c r="B278" s="562" t="s">
        <v>767</v>
      </c>
      <c r="C278" s="725">
        <v>0.15</v>
      </c>
      <c r="D278" s="725">
        <v>0.15</v>
      </c>
      <c r="E278" s="725">
        <v>0.15</v>
      </c>
      <c r="F278" s="726">
        <v>0.13800000000000001</v>
      </c>
    </row>
    <row r="279" spans="1:6" ht="24.6" thickBot="1">
      <c r="A279" s="568" t="s">
        <v>529</v>
      </c>
      <c r="B279" s="562" t="s">
        <v>768</v>
      </c>
      <c r="C279" s="738"/>
      <c r="D279" s="738"/>
      <c r="E279" s="738"/>
      <c r="F279" s="726">
        <v>0.05</v>
      </c>
    </row>
    <row r="280" spans="1:6" ht="24.6" thickBot="1">
      <c r="A280" s="568" t="s">
        <v>529</v>
      </c>
      <c r="B280" s="562" t="s">
        <v>769</v>
      </c>
      <c r="C280" s="738"/>
      <c r="D280" s="738"/>
      <c r="E280" s="738"/>
      <c r="F280" s="726">
        <v>0.05</v>
      </c>
    </row>
    <row r="281" spans="1:6" ht="24.6" thickBot="1">
      <c r="A281" s="568" t="s">
        <v>529</v>
      </c>
      <c r="B281" s="562" t="s">
        <v>770</v>
      </c>
      <c r="C281" s="738"/>
      <c r="D281" s="738"/>
      <c r="E281" s="738"/>
      <c r="F281" s="726">
        <v>0.05</v>
      </c>
    </row>
    <row r="282" spans="1:6" ht="24.6" thickBot="1">
      <c r="A282" s="568" t="s">
        <v>529</v>
      </c>
      <c r="B282" s="562" t="s">
        <v>771</v>
      </c>
      <c r="C282" s="738"/>
      <c r="D282" s="738"/>
      <c r="E282" s="738"/>
      <c r="F282" s="726">
        <v>0.05</v>
      </c>
    </row>
    <row r="283" spans="1:6" ht="24.6" thickBot="1">
      <c r="A283" s="568" t="s">
        <v>529</v>
      </c>
      <c r="B283" s="562" t="s">
        <v>772</v>
      </c>
      <c r="C283" s="738"/>
      <c r="D283" s="738"/>
      <c r="E283" s="738"/>
      <c r="F283" s="726">
        <v>0.05</v>
      </c>
    </row>
    <row r="284" spans="1:6" ht="24.6" thickBot="1">
      <c r="A284" s="568" t="s">
        <v>529</v>
      </c>
      <c r="B284" s="562" t="s">
        <v>773</v>
      </c>
      <c r="C284" s="738"/>
      <c r="D284" s="738"/>
      <c r="E284" s="738"/>
      <c r="F284" s="726">
        <v>0.05</v>
      </c>
    </row>
    <row r="285" spans="1:6" ht="24.6" thickBot="1">
      <c r="A285" s="568" t="s">
        <v>529</v>
      </c>
      <c r="B285" s="562" t="s">
        <v>774</v>
      </c>
      <c r="C285" s="738"/>
      <c r="D285" s="738"/>
      <c r="E285" s="738"/>
      <c r="F285" s="726">
        <v>0.05</v>
      </c>
    </row>
    <row r="286" spans="1:6" ht="24.6" thickBot="1">
      <c r="A286" s="568" t="s">
        <v>529</v>
      </c>
      <c r="B286" s="562" t="s">
        <v>775</v>
      </c>
      <c r="C286" s="738"/>
      <c r="D286" s="738"/>
      <c r="E286" s="738"/>
      <c r="F286" s="726">
        <v>0.05</v>
      </c>
    </row>
    <row r="287" spans="1:6" ht="24.6" thickBot="1">
      <c r="A287" s="568" t="s">
        <v>529</v>
      </c>
      <c r="B287" s="562" t="s">
        <v>776</v>
      </c>
      <c r="C287" s="738"/>
      <c r="D287" s="738"/>
      <c r="E287" s="738"/>
      <c r="F287" s="726">
        <v>0.05</v>
      </c>
    </row>
    <row r="288" spans="1:6" ht="24.6" thickBot="1">
      <c r="A288" s="568" t="s">
        <v>529</v>
      </c>
      <c r="B288" s="562" t="s">
        <v>777</v>
      </c>
      <c r="C288" s="738"/>
      <c r="D288" s="738"/>
      <c r="E288" s="738"/>
      <c r="F288" s="726">
        <v>0.05</v>
      </c>
    </row>
    <row r="289" spans="1:6" ht="24.6" thickBot="1">
      <c r="A289" s="578" t="s">
        <v>529</v>
      </c>
      <c r="B289" s="574" t="s">
        <v>778</v>
      </c>
      <c r="C289" s="735"/>
      <c r="D289" s="735"/>
      <c r="E289" s="735"/>
      <c r="F289" s="728">
        <v>0.05</v>
      </c>
    </row>
    <row r="290" spans="1:6" ht="15" thickBot="1">
      <c r="A290" s="568" t="s">
        <v>533</v>
      </c>
      <c r="B290" s="569" t="s">
        <v>779</v>
      </c>
      <c r="C290" s="723">
        <v>0.15</v>
      </c>
      <c r="D290" s="723">
        <v>0.15</v>
      </c>
      <c r="E290" s="723">
        <v>0.15</v>
      </c>
      <c r="F290" s="740"/>
    </row>
    <row r="291" spans="1:6" ht="15" thickBot="1">
      <c r="A291" s="568" t="s">
        <v>533</v>
      </c>
      <c r="B291" s="562" t="s">
        <v>195</v>
      </c>
      <c r="C291" s="725">
        <v>0.15</v>
      </c>
      <c r="D291" s="725">
        <v>0.15</v>
      </c>
      <c r="E291" s="725">
        <v>0.15</v>
      </c>
      <c r="F291" s="737"/>
    </row>
    <row r="292" spans="1:6" ht="15" thickBot="1">
      <c r="A292" s="568" t="s">
        <v>533</v>
      </c>
      <c r="B292" s="562" t="s">
        <v>780</v>
      </c>
      <c r="C292" s="725">
        <v>0.15</v>
      </c>
      <c r="D292" s="725">
        <v>0.15</v>
      </c>
      <c r="E292" s="725">
        <v>0.15</v>
      </c>
      <c r="F292" s="726">
        <v>0.14699999999999999</v>
      </c>
    </row>
    <row r="293" spans="1:6" ht="15" thickBot="1">
      <c r="A293" s="568" t="s">
        <v>533</v>
      </c>
      <c r="B293" s="562" t="s">
        <v>781</v>
      </c>
      <c r="C293" s="738"/>
      <c r="D293" s="738"/>
      <c r="E293" s="738"/>
      <c r="F293" s="726">
        <v>0.1</v>
      </c>
    </row>
    <row r="294" spans="1:6" ht="15" thickBot="1">
      <c r="A294" s="568" t="s">
        <v>533</v>
      </c>
      <c r="B294" s="562" t="s">
        <v>782</v>
      </c>
      <c r="C294" s="725">
        <v>0.15</v>
      </c>
      <c r="D294" s="725">
        <v>0.15</v>
      </c>
      <c r="E294" s="725">
        <v>0.15</v>
      </c>
      <c r="F294" s="726">
        <v>0.15</v>
      </c>
    </row>
    <row r="295" spans="1:6" ht="15" thickBot="1">
      <c r="A295" s="568" t="s">
        <v>533</v>
      </c>
      <c r="B295" s="562" t="s">
        <v>233</v>
      </c>
      <c r="C295" s="725">
        <v>0.15</v>
      </c>
      <c r="D295" s="725">
        <v>0.15</v>
      </c>
      <c r="E295" s="725">
        <v>0.15</v>
      </c>
      <c r="F295" s="726">
        <v>0.15</v>
      </c>
    </row>
    <row r="296" spans="1:6" ht="15" thickBot="1">
      <c r="A296" s="568" t="s">
        <v>533</v>
      </c>
      <c r="B296" s="562" t="s">
        <v>783</v>
      </c>
      <c r="C296" s="725">
        <v>0.15</v>
      </c>
      <c r="D296" s="725">
        <v>0.15</v>
      </c>
      <c r="E296" s="725">
        <v>0.15</v>
      </c>
      <c r="F296" s="726">
        <v>0.15</v>
      </c>
    </row>
    <row r="297" spans="1:6" ht="15" thickBot="1">
      <c r="A297" s="568" t="s">
        <v>533</v>
      </c>
      <c r="B297" s="562" t="s">
        <v>784</v>
      </c>
      <c r="C297" s="725">
        <v>0.14799999999999999</v>
      </c>
      <c r="D297" s="725">
        <v>0.14899999999999999</v>
      </c>
      <c r="E297" s="725">
        <v>0.15</v>
      </c>
      <c r="F297" s="726">
        <v>0.13700000000000001</v>
      </c>
    </row>
    <row r="298" spans="1:6" ht="15" thickBot="1">
      <c r="A298" s="568" t="s">
        <v>533</v>
      </c>
      <c r="B298" s="562" t="s">
        <v>266</v>
      </c>
      <c r="C298" s="725">
        <v>0.13400000000000001</v>
      </c>
      <c r="D298" s="725">
        <v>0.13400000000000001</v>
      </c>
      <c r="E298" s="725">
        <v>0.14499999999999999</v>
      </c>
      <c r="F298" s="726">
        <v>0.14799999999999999</v>
      </c>
    </row>
    <row r="299" spans="1:6" ht="15" thickBot="1">
      <c r="A299" s="568" t="s">
        <v>533</v>
      </c>
      <c r="B299" s="562" t="s">
        <v>278</v>
      </c>
      <c r="C299" s="725">
        <v>0.15</v>
      </c>
      <c r="D299" s="725">
        <v>0.15</v>
      </c>
      <c r="E299" s="725">
        <v>0.15</v>
      </c>
      <c r="F299" s="737"/>
    </row>
    <row r="300" spans="1:6" ht="15" thickBot="1">
      <c r="A300" s="568" t="s">
        <v>533</v>
      </c>
      <c r="B300" s="562" t="s">
        <v>785</v>
      </c>
      <c r="C300" s="725">
        <v>0.15</v>
      </c>
      <c r="D300" s="725">
        <v>0.15</v>
      </c>
      <c r="E300" s="725">
        <v>0.15</v>
      </c>
      <c r="F300" s="726">
        <v>0.15</v>
      </c>
    </row>
    <row r="301" spans="1:6" ht="15" thickBot="1">
      <c r="A301" s="568" t="s">
        <v>533</v>
      </c>
      <c r="B301" s="562" t="s">
        <v>298</v>
      </c>
      <c r="C301" s="725">
        <v>0.15</v>
      </c>
      <c r="D301" s="725">
        <v>0.15</v>
      </c>
      <c r="E301" s="725">
        <v>0.15</v>
      </c>
      <c r="F301" s="737"/>
    </row>
    <row r="302" spans="1:6" ht="15" thickBot="1">
      <c r="A302" s="568" t="s">
        <v>533</v>
      </c>
      <c r="B302" s="562" t="s">
        <v>786</v>
      </c>
      <c r="C302" s="725">
        <v>0.15</v>
      </c>
      <c r="D302" s="725">
        <v>0.15</v>
      </c>
      <c r="E302" s="725">
        <v>0.15</v>
      </c>
      <c r="F302" s="726">
        <v>0.15</v>
      </c>
    </row>
    <row r="303" spans="1:6" ht="15" thickBot="1">
      <c r="A303" s="568" t="s">
        <v>533</v>
      </c>
      <c r="B303" s="562" t="s">
        <v>318</v>
      </c>
      <c r="C303" s="725">
        <v>0.15</v>
      </c>
      <c r="D303" s="725">
        <v>0.15</v>
      </c>
      <c r="E303" s="725">
        <v>0.15</v>
      </c>
      <c r="F303" s="726">
        <v>0.15</v>
      </c>
    </row>
    <row r="304" spans="1:6" ht="15" thickBot="1">
      <c r="A304" s="568" t="s">
        <v>533</v>
      </c>
      <c r="B304" s="562" t="s">
        <v>329</v>
      </c>
      <c r="C304" s="725">
        <v>0.15</v>
      </c>
      <c r="D304" s="725">
        <v>0.15</v>
      </c>
      <c r="E304" s="725">
        <v>0.15</v>
      </c>
      <c r="F304" s="737"/>
    </row>
    <row r="305" spans="1:6" ht="15" thickBot="1">
      <c r="A305" s="568" t="s">
        <v>533</v>
      </c>
      <c r="B305" s="562" t="s">
        <v>787</v>
      </c>
      <c r="C305" s="725">
        <v>0.15</v>
      </c>
      <c r="D305" s="725">
        <v>0.15</v>
      </c>
      <c r="E305" s="725">
        <v>0.15</v>
      </c>
      <c r="F305" s="726">
        <v>0.14000000000000001</v>
      </c>
    </row>
    <row r="306" spans="1:6" ht="15" thickBot="1">
      <c r="A306" s="568" t="s">
        <v>533</v>
      </c>
      <c r="B306" s="562" t="s">
        <v>350</v>
      </c>
      <c r="C306" s="725">
        <v>0.15</v>
      </c>
      <c r="D306" s="725">
        <v>0.15</v>
      </c>
      <c r="E306" s="725">
        <v>0.15</v>
      </c>
      <c r="F306" s="737"/>
    </row>
    <row r="307" spans="1:6" ht="15" thickBot="1">
      <c r="A307" s="568" t="s">
        <v>533</v>
      </c>
      <c r="B307" s="562" t="s">
        <v>788</v>
      </c>
      <c r="C307" s="725">
        <v>0.15</v>
      </c>
      <c r="D307" s="725">
        <v>0.15</v>
      </c>
      <c r="E307" s="725">
        <v>0.15</v>
      </c>
      <c r="F307" s="726">
        <v>0.14299999999999999</v>
      </c>
    </row>
    <row r="308" spans="1:6" ht="15" thickBot="1">
      <c r="A308" s="568" t="s">
        <v>533</v>
      </c>
      <c r="B308" s="562" t="s">
        <v>370</v>
      </c>
      <c r="C308" s="725">
        <v>0.15</v>
      </c>
      <c r="D308" s="725">
        <v>0.15</v>
      </c>
      <c r="E308" s="725">
        <v>0.15</v>
      </c>
      <c r="F308" s="726">
        <v>0.15</v>
      </c>
    </row>
    <row r="309" spans="1:6" ht="15" thickBot="1">
      <c r="A309" s="568" t="s">
        <v>533</v>
      </c>
      <c r="B309" s="562" t="s">
        <v>380</v>
      </c>
      <c r="C309" s="725">
        <v>0.15</v>
      </c>
      <c r="D309" s="725">
        <v>0.15</v>
      </c>
      <c r="E309" s="725">
        <v>0.15</v>
      </c>
      <c r="F309" s="737"/>
    </row>
    <row r="310" spans="1:6" ht="15" thickBot="1">
      <c r="A310" s="568" t="s">
        <v>533</v>
      </c>
      <c r="B310" s="562" t="s">
        <v>789</v>
      </c>
      <c r="C310" s="725">
        <v>0.15</v>
      </c>
      <c r="D310" s="725">
        <v>0.15</v>
      </c>
      <c r="E310" s="725">
        <v>0.15</v>
      </c>
      <c r="F310" s="726">
        <v>0.13700000000000001</v>
      </c>
    </row>
    <row r="311" spans="1:6" ht="15" thickBot="1">
      <c r="A311" s="568" t="s">
        <v>533</v>
      </c>
      <c r="B311" s="562" t="s">
        <v>790</v>
      </c>
      <c r="C311" s="725">
        <v>0.15</v>
      </c>
      <c r="D311" s="725">
        <v>0.15</v>
      </c>
      <c r="E311" s="725">
        <v>0.15</v>
      </c>
      <c r="F311" s="726">
        <v>0.15</v>
      </c>
    </row>
    <row r="312" spans="1:6" ht="15" thickBot="1">
      <c r="A312" s="568" t="s">
        <v>533</v>
      </c>
      <c r="B312" s="562" t="s">
        <v>406</v>
      </c>
      <c r="C312" s="725">
        <v>0.15</v>
      </c>
      <c r="D312" s="725">
        <v>0.15</v>
      </c>
      <c r="E312" s="725">
        <v>0.15</v>
      </c>
      <c r="F312" s="726">
        <v>0.1</v>
      </c>
    </row>
    <row r="313" spans="1:6" ht="15" thickBot="1">
      <c r="A313" s="568" t="s">
        <v>533</v>
      </c>
      <c r="B313" s="562" t="s">
        <v>791</v>
      </c>
      <c r="C313" s="725">
        <v>0.15</v>
      </c>
      <c r="D313" s="725">
        <v>0.15</v>
      </c>
      <c r="E313" s="725">
        <v>0.15</v>
      </c>
      <c r="F313" s="726">
        <v>0.15</v>
      </c>
    </row>
    <row r="314" spans="1:6" ht="24.6" thickBot="1">
      <c r="A314" s="568" t="s">
        <v>533</v>
      </c>
      <c r="B314" s="562" t="s">
        <v>792</v>
      </c>
      <c r="C314" s="738"/>
      <c r="D314" s="738"/>
      <c r="E314" s="738"/>
      <c r="F314" s="726">
        <v>0.05</v>
      </c>
    </row>
    <row r="315" spans="1:6" ht="24.6" thickBot="1">
      <c r="A315" s="568" t="s">
        <v>533</v>
      </c>
      <c r="B315" s="562" t="s">
        <v>793</v>
      </c>
      <c r="C315" s="738"/>
      <c r="D315" s="738"/>
      <c r="E315" s="738"/>
      <c r="F315" s="726">
        <v>0.05</v>
      </c>
    </row>
    <row r="316" spans="1:6" ht="24.6" thickBot="1">
      <c r="A316" s="578" t="s">
        <v>533</v>
      </c>
      <c r="B316" s="574" t="s">
        <v>794</v>
      </c>
      <c r="C316" s="735"/>
      <c r="D316" s="735"/>
      <c r="E316" s="735"/>
      <c r="F316" s="728">
        <v>0.05</v>
      </c>
    </row>
    <row r="317" spans="1:6" ht="15" thickBot="1">
      <c r="A317" s="568" t="s">
        <v>795</v>
      </c>
      <c r="B317" s="569" t="s">
        <v>796</v>
      </c>
      <c r="C317" s="723">
        <v>0.15</v>
      </c>
      <c r="D317" s="723">
        <v>0.15</v>
      </c>
      <c r="E317" s="723">
        <v>0.15</v>
      </c>
      <c r="F317" s="724">
        <v>0.15</v>
      </c>
    </row>
    <row r="318" spans="1:6" ht="15" thickBot="1">
      <c r="A318" s="568" t="s">
        <v>795</v>
      </c>
      <c r="B318" s="562" t="s">
        <v>797</v>
      </c>
      <c r="C318" s="725">
        <v>0.107</v>
      </c>
      <c r="D318" s="725">
        <v>0.11</v>
      </c>
      <c r="E318" s="725">
        <v>0.112</v>
      </c>
      <c r="F318" s="737"/>
    </row>
    <row r="319" spans="1:6" ht="15" thickBot="1">
      <c r="A319" s="568" t="s">
        <v>795</v>
      </c>
      <c r="B319" s="562" t="s">
        <v>798</v>
      </c>
      <c r="C319" s="725">
        <v>0.15</v>
      </c>
      <c r="D319" s="725">
        <v>0.15</v>
      </c>
      <c r="E319" s="725">
        <v>0.15</v>
      </c>
      <c r="F319" s="726">
        <v>0.15</v>
      </c>
    </row>
    <row r="320" spans="1:6" ht="15" thickBot="1">
      <c r="A320" s="568" t="s">
        <v>795</v>
      </c>
      <c r="B320" s="562" t="s">
        <v>222</v>
      </c>
      <c r="C320" s="725">
        <v>0.15</v>
      </c>
      <c r="D320" s="725">
        <v>0.15</v>
      </c>
      <c r="E320" s="725">
        <v>0.15</v>
      </c>
      <c r="F320" s="737"/>
    </row>
    <row r="321" spans="1:6" ht="15" thickBot="1">
      <c r="A321" s="568" t="s">
        <v>795</v>
      </c>
      <c r="B321" s="562" t="s">
        <v>799</v>
      </c>
      <c r="C321" s="725">
        <v>0.15</v>
      </c>
      <c r="D321" s="725">
        <v>0.15</v>
      </c>
      <c r="E321" s="725">
        <v>0.15</v>
      </c>
      <c r="F321" s="737"/>
    </row>
    <row r="322" spans="1:6" ht="15" thickBot="1">
      <c r="A322" s="568" t="s">
        <v>795</v>
      </c>
      <c r="B322" s="562" t="s">
        <v>800</v>
      </c>
      <c r="C322" s="725">
        <v>0.15</v>
      </c>
      <c r="D322" s="725">
        <v>0.15</v>
      </c>
      <c r="E322" s="725">
        <v>0.15</v>
      </c>
      <c r="F322" s="726">
        <v>0.15</v>
      </c>
    </row>
    <row r="323" spans="1:6" ht="15" thickBot="1">
      <c r="A323" s="568" t="s">
        <v>795</v>
      </c>
      <c r="B323" s="562" t="s">
        <v>801</v>
      </c>
      <c r="C323" s="725">
        <v>0.15</v>
      </c>
      <c r="D323" s="725">
        <v>0.15</v>
      </c>
      <c r="E323" s="725">
        <v>0.15</v>
      </c>
      <c r="F323" s="737"/>
    </row>
    <row r="324" spans="1:6" ht="15" thickBot="1">
      <c r="A324" s="568" t="s">
        <v>795</v>
      </c>
      <c r="B324" s="562" t="s">
        <v>802</v>
      </c>
      <c r="C324" s="725">
        <v>0.15</v>
      </c>
      <c r="D324" s="725">
        <v>0.15</v>
      </c>
      <c r="E324" s="725">
        <v>0.15</v>
      </c>
      <c r="F324" s="737"/>
    </row>
    <row r="325" spans="1:6" ht="15" thickBot="1">
      <c r="A325" s="568" t="s">
        <v>795</v>
      </c>
      <c r="B325" s="562" t="s">
        <v>803</v>
      </c>
      <c r="C325" s="725">
        <v>0.15</v>
      </c>
      <c r="D325" s="725">
        <v>0.15</v>
      </c>
      <c r="E325" s="725">
        <v>0.15</v>
      </c>
      <c r="F325" s="726">
        <v>0.14699999999999999</v>
      </c>
    </row>
    <row r="326" spans="1:6" ht="15" thickBot="1">
      <c r="A326" s="568" t="s">
        <v>795</v>
      </c>
      <c r="B326" s="562" t="s">
        <v>289</v>
      </c>
      <c r="C326" s="725">
        <v>0.15</v>
      </c>
      <c r="D326" s="725">
        <v>0.15</v>
      </c>
      <c r="E326" s="725">
        <v>0.15</v>
      </c>
      <c r="F326" s="737"/>
    </row>
    <row r="327" spans="1:6" ht="15" thickBot="1">
      <c r="A327" s="568" t="s">
        <v>795</v>
      </c>
      <c r="B327" s="562" t="s">
        <v>804</v>
      </c>
      <c r="C327" s="725">
        <v>0.15</v>
      </c>
      <c r="D327" s="725">
        <v>0.15</v>
      </c>
      <c r="E327" s="725">
        <v>0.15</v>
      </c>
      <c r="F327" s="726">
        <v>0.15</v>
      </c>
    </row>
    <row r="328" spans="1:6" ht="15" thickBot="1">
      <c r="A328" s="568" t="s">
        <v>795</v>
      </c>
      <c r="B328" s="562" t="s">
        <v>309</v>
      </c>
      <c r="C328" s="725">
        <v>0.15</v>
      </c>
      <c r="D328" s="725">
        <v>0.15</v>
      </c>
      <c r="E328" s="725">
        <v>0.15</v>
      </c>
      <c r="F328" s="726">
        <v>0.14099999999999999</v>
      </c>
    </row>
    <row r="329" spans="1:6" ht="15" thickBot="1">
      <c r="A329" s="568" t="s">
        <v>795</v>
      </c>
      <c r="B329" s="562" t="s">
        <v>319</v>
      </c>
      <c r="C329" s="725">
        <v>0.15</v>
      </c>
      <c r="D329" s="725">
        <v>0.15</v>
      </c>
      <c r="E329" s="725">
        <v>0.15</v>
      </c>
      <c r="F329" s="726">
        <v>0.15</v>
      </c>
    </row>
    <row r="330" spans="1:6" ht="15" thickBot="1">
      <c r="A330" s="568" t="s">
        <v>795</v>
      </c>
      <c r="B330" s="562" t="s">
        <v>330</v>
      </c>
      <c r="C330" s="725">
        <v>0.15</v>
      </c>
      <c r="D330" s="725">
        <v>0.15</v>
      </c>
      <c r="E330" s="725">
        <v>0.15</v>
      </c>
      <c r="F330" s="737"/>
    </row>
    <row r="331" spans="1:6" ht="15" thickBot="1">
      <c r="A331" s="568" t="s">
        <v>795</v>
      </c>
      <c r="B331" s="562" t="s">
        <v>805</v>
      </c>
      <c r="C331" s="725">
        <v>0.15</v>
      </c>
      <c r="D331" s="725">
        <v>0.15</v>
      </c>
      <c r="E331" s="725">
        <v>0.15</v>
      </c>
      <c r="F331" s="726">
        <v>0.15</v>
      </c>
    </row>
    <row r="332" spans="1:6" ht="15" thickBot="1">
      <c r="A332" s="568" t="s">
        <v>795</v>
      </c>
      <c r="B332" s="562" t="s">
        <v>351</v>
      </c>
      <c r="C332" s="725">
        <v>0.15</v>
      </c>
      <c r="D332" s="725">
        <v>0.15</v>
      </c>
      <c r="E332" s="725">
        <v>0.15</v>
      </c>
      <c r="F332" s="726">
        <v>0.15</v>
      </c>
    </row>
    <row r="333" spans="1:6" ht="15" thickBot="1">
      <c r="A333" s="568" t="s">
        <v>795</v>
      </c>
      <c r="B333" s="562" t="s">
        <v>806</v>
      </c>
      <c r="C333" s="725">
        <v>0.15</v>
      </c>
      <c r="D333" s="725">
        <v>0.15</v>
      </c>
      <c r="E333" s="725">
        <v>0.15</v>
      </c>
      <c r="F333" s="726">
        <v>0.14099999999999999</v>
      </c>
    </row>
    <row r="334" spans="1:6" ht="15" thickBot="1">
      <c r="A334" s="568" t="s">
        <v>795</v>
      </c>
      <c r="B334" s="562" t="s">
        <v>371</v>
      </c>
      <c r="C334" s="725">
        <v>0.15</v>
      </c>
      <c r="D334" s="725">
        <v>0.15</v>
      </c>
      <c r="E334" s="725">
        <v>0.15</v>
      </c>
      <c r="F334" s="726">
        <v>0.15</v>
      </c>
    </row>
    <row r="335" spans="1:6" ht="15" thickBot="1">
      <c r="A335" s="568" t="s">
        <v>795</v>
      </c>
      <c r="B335" s="562" t="s">
        <v>381</v>
      </c>
      <c r="C335" s="725">
        <v>0.15</v>
      </c>
      <c r="D335" s="725">
        <v>0.15</v>
      </c>
      <c r="E335" s="725">
        <v>0.15</v>
      </c>
      <c r="F335" s="737"/>
    </row>
    <row r="336" spans="1:6" ht="15" thickBot="1">
      <c r="A336" s="568" t="s">
        <v>795</v>
      </c>
      <c r="B336" s="562" t="s">
        <v>807</v>
      </c>
      <c r="C336" s="725">
        <v>0.15</v>
      </c>
      <c r="D336" s="725">
        <v>0.15</v>
      </c>
      <c r="E336" s="725">
        <v>0.15</v>
      </c>
      <c r="F336" s="726">
        <v>0.11799999999999999</v>
      </c>
    </row>
    <row r="337" spans="1:6" ht="15" thickBot="1">
      <c r="A337" s="578" t="s">
        <v>795</v>
      </c>
      <c r="B337" s="574" t="s">
        <v>399</v>
      </c>
      <c r="C337" s="735"/>
      <c r="D337" s="735"/>
      <c r="E337" s="735"/>
      <c r="F337" s="728">
        <v>0.14299999999999999</v>
      </c>
    </row>
    <row r="338" spans="1:6" ht="15" thickBot="1">
      <c r="A338" s="568" t="s">
        <v>808</v>
      </c>
      <c r="B338" s="569" t="s">
        <v>809</v>
      </c>
      <c r="C338" s="723">
        <v>0.15</v>
      </c>
      <c r="D338" s="723">
        <v>0.15</v>
      </c>
      <c r="E338" s="723">
        <v>0.15</v>
      </c>
      <c r="F338" s="740"/>
    </row>
    <row r="339" spans="1:6" ht="15" thickBot="1">
      <c r="A339" s="568" t="s">
        <v>808</v>
      </c>
      <c r="B339" s="562" t="s">
        <v>810</v>
      </c>
      <c r="C339" s="725">
        <v>0.15</v>
      </c>
      <c r="D339" s="725">
        <v>0.15</v>
      </c>
      <c r="E339" s="725">
        <v>0.15</v>
      </c>
      <c r="F339" s="737"/>
    </row>
    <row r="340" spans="1:6" ht="15" thickBot="1">
      <c r="A340" s="568" t="s">
        <v>808</v>
      </c>
      <c r="B340" s="562" t="s">
        <v>811</v>
      </c>
      <c r="C340" s="725">
        <v>0.15</v>
      </c>
      <c r="D340" s="725">
        <v>0.15</v>
      </c>
      <c r="E340" s="725">
        <v>0.15</v>
      </c>
      <c r="F340" s="737"/>
    </row>
    <row r="341" spans="1:6" ht="15" thickBot="1">
      <c r="A341" s="568" t="s">
        <v>808</v>
      </c>
      <c r="B341" s="562" t="s">
        <v>812</v>
      </c>
      <c r="C341" s="725">
        <v>0.15</v>
      </c>
      <c r="D341" s="725">
        <v>0.15</v>
      </c>
      <c r="E341" s="725">
        <v>0.15</v>
      </c>
      <c r="F341" s="726">
        <v>0.15</v>
      </c>
    </row>
    <row r="342" spans="1:6" ht="15" thickBot="1">
      <c r="A342" s="568" t="s">
        <v>808</v>
      </c>
      <c r="B342" s="562" t="s">
        <v>813</v>
      </c>
      <c r="C342" s="725">
        <v>0.15</v>
      </c>
      <c r="D342" s="725">
        <v>0.15</v>
      </c>
      <c r="E342" s="725">
        <v>0.15</v>
      </c>
      <c r="F342" s="726">
        <v>0.15</v>
      </c>
    </row>
    <row r="343" spans="1:6" ht="15" thickBot="1">
      <c r="A343" s="568" t="s">
        <v>808</v>
      </c>
      <c r="B343" s="562" t="s">
        <v>814</v>
      </c>
      <c r="C343" s="725">
        <v>0.15</v>
      </c>
      <c r="D343" s="725">
        <v>0.15</v>
      </c>
      <c r="E343" s="725">
        <v>0.15</v>
      </c>
      <c r="F343" s="726">
        <v>0.15</v>
      </c>
    </row>
    <row r="344" spans="1:6" ht="1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4.4"/>
  <cols>
    <col min="1" max="1" width="4.88671875" style="1039" customWidth="1"/>
    <col min="2" max="2" width="13.21875" style="1045" customWidth="1"/>
    <col min="3" max="3" width="15.6640625" style="1045" customWidth="1"/>
    <col min="4" max="4" width="9.33203125" style="1045" bestFit="1" customWidth="1"/>
    <col min="5" max="5" width="13.44140625" style="1045" customWidth="1"/>
    <col min="6" max="6" width="9" style="1045"/>
    <col min="7" max="7" width="9.33203125" style="1045" bestFit="1" customWidth="1"/>
    <col min="8" max="8" width="12.21875" style="1045" customWidth="1"/>
    <col min="9" max="9" width="9" style="1045"/>
    <col min="10" max="10" width="9.33203125" style="1045" bestFit="1" customWidth="1"/>
    <col min="11" max="11" width="4" style="1039" customWidth="1"/>
    <col min="12" max="12" width="5.109375" style="1045" customWidth="1"/>
    <col min="13" max="13" width="13.77734375" style="1045" customWidth="1"/>
    <col min="14" max="256" width="9" style="1045"/>
    <col min="257" max="257" width="4.88671875" style="1036" customWidth="1"/>
    <col min="258" max="258" width="13.21875" style="1036" customWidth="1"/>
    <col min="259" max="259" width="15.6640625" style="1036" customWidth="1"/>
    <col min="260" max="260" width="9.33203125" style="1036" bestFit="1" customWidth="1"/>
    <col min="261" max="261" width="13.44140625" style="1036" customWidth="1"/>
    <col min="262" max="262" width="9" style="1036"/>
    <col min="263" max="263" width="9.33203125" style="1036" bestFit="1" customWidth="1"/>
    <col min="264" max="265" width="9" style="1036"/>
    <col min="266" max="266" width="9.33203125" style="1036" bestFit="1" customWidth="1"/>
    <col min="267" max="267" width="4" style="1036" customWidth="1"/>
    <col min="268" max="268" width="5.109375" style="1036" customWidth="1"/>
    <col min="269" max="269" width="13.77734375" style="1036" customWidth="1"/>
    <col min="270" max="512" width="9" style="1036"/>
    <col min="513" max="513" width="4.88671875" style="1036" customWidth="1"/>
    <col min="514" max="514" width="13.21875" style="1036" customWidth="1"/>
    <col min="515" max="515" width="15.6640625" style="1036" customWidth="1"/>
    <col min="516" max="516" width="9.33203125" style="1036" bestFit="1" customWidth="1"/>
    <col min="517" max="517" width="13.44140625" style="1036" customWidth="1"/>
    <col min="518" max="518" width="9" style="1036"/>
    <col min="519" max="519" width="9.33203125" style="1036" bestFit="1" customWidth="1"/>
    <col min="520" max="521" width="9" style="1036"/>
    <col min="522" max="522" width="9.33203125" style="1036" bestFit="1" customWidth="1"/>
    <col min="523" max="523" width="4" style="1036" customWidth="1"/>
    <col min="524" max="524" width="5.109375" style="1036" customWidth="1"/>
    <col min="525" max="525" width="13.77734375" style="1036" customWidth="1"/>
    <col min="526" max="768" width="9" style="1036"/>
    <col min="769" max="769" width="4.88671875" style="1036" customWidth="1"/>
    <col min="770" max="770" width="13.21875" style="1036" customWidth="1"/>
    <col min="771" max="771" width="15.6640625" style="1036" customWidth="1"/>
    <col min="772" max="772" width="9.33203125" style="1036" bestFit="1" customWidth="1"/>
    <col min="773" max="773" width="13.44140625" style="1036" customWidth="1"/>
    <col min="774" max="774" width="9" style="1036"/>
    <col min="775" max="775" width="9.33203125" style="1036" bestFit="1" customWidth="1"/>
    <col min="776" max="777" width="9" style="1036"/>
    <col min="778" max="778" width="9.33203125" style="1036" bestFit="1" customWidth="1"/>
    <col min="779" max="779" width="4" style="1036" customWidth="1"/>
    <col min="780" max="780" width="5.109375" style="1036" customWidth="1"/>
    <col min="781" max="781" width="13.77734375" style="1036" customWidth="1"/>
    <col min="782" max="1024" width="9" style="1036"/>
    <col min="1025" max="1025" width="4.88671875" style="1036" customWidth="1"/>
    <col min="1026" max="1026" width="13.21875" style="1036" customWidth="1"/>
    <col min="1027" max="1027" width="15.6640625" style="1036" customWidth="1"/>
    <col min="1028" max="1028" width="9.33203125" style="1036" bestFit="1" customWidth="1"/>
    <col min="1029" max="1029" width="13.44140625" style="1036" customWidth="1"/>
    <col min="1030" max="1030" width="9" style="1036"/>
    <col min="1031" max="1031" width="9.33203125" style="1036" bestFit="1" customWidth="1"/>
    <col min="1032" max="1033" width="9" style="1036"/>
    <col min="1034" max="1034" width="9.33203125" style="1036" bestFit="1" customWidth="1"/>
    <col min="1035" max="1035" width="4" style="1036" customWidth="1"/>
    <col min="1036" max="1036" width="5.109375" style="1036" customWidth="1"/>
    <col min="1037" max="1037" width="13.77734375" style="1036" customWidth="1"/>
    <col min="1038" max="1280" width="9" style="1036"/>
    <col min="1281" max="1281" width="4.88671875" style="1036" customWidth="1"/>
    <col min="1282" max="1282" width="13.21875" style="1036" customWidth="1"/>
    <col min="1283" max="1283" width="15.6640625" style="1036" customWidth="1"/>
    <col min="1284" max="1284" width="9.33203125" style="1036" bestFit="1" customWidth="1"/>
    <col min="1285" max="1285" width="13.44140625" style="1036" customWidth="1"/>
    <col min="1286" max="1286" width="9" style="1036"/>
    <col min="1287" max="1287" width="9.33203125" style="1036" bestFit="1" customWidth="1"/>
    <col min="1288" max="1289" width="9" style="1036"/>
    <col min="1290" max="1290" width="9.33203125" style="1036" bestFit="1" customWidth="1"/>
    <col min="1291" max="1291" width="4" style="1036" customWidth="1"/>
    <col min="1292" max="1292" width="5.109375" style="1036" customWidth="1"/>
    <col min="1293" max="1293" width="13.77734375" style="1036" customWidth="1"/>
    <col min="1294" max="1536" width="9" style="1036"/>
    <col min="1537" max="1537" width="4.88671875" style="1036" customWidth="1"/>
    <col min="1538" max="1538" width="13.21875" style="1036" customWidth="1"/>
    <col min="1539" max="1539" width="15.6640625" style="1036" customWidth="1"/>
    <col min="1540" max="1540" width="9.33203125" style="1036" bestFit="1" customWidth="1"/>
    <col min="1541" max="1541" width="13.44140625" style="1036" customWidth="1"/>
    <col min="1542" max="1542" width="9" style="1036"/>
    <col min="1543" max="1543" width="9.33203125" style="1036" bestFit="1" customWidth="1"/>
    <col min="1544" max="1545" width="9" style="1036"/>
    <col min="1546" max="1546" width="9.33203125" style="1036" bestFit="1" customWidth="1"/>
    <col min="1547" max="1547" width="4" style="1036" customWidth="1"/>
    <col min="1548" max="1548" width="5.109375" style="1036" customWidth="1"/>
    <col min="1549" max="1549" width="13.77734375" style="1036" customWidth="1"/>
    <col min="1550" max="1792" width="9" style="1036"/>
    <col min="1793" max="1793" width="4.88671875" style="1036" customWidth="1"/>
    <col min="1794" max="1794" width="13.21875" style="1036" customWidth="1"/>
    <col min="1795" max="1795" width="15.6640625" style="1036" customWidth="1"/>
    <col min="1796" max="1796" width="9.33203125" style="1036" bestFit="1" customWidth="1"/>
    <col min="1797" max="1797" width="13.44140625" style="1036" customWidth="1"/>
    <col min="1798" max="1798" width="9" style="1036"/>
    <col min="1799" max="1799" width="9.33203125" style="1036" bestFit="1" customWidth="1"/>
    <col min="1800" max="1801" width="9" style="1036"/>
    <col min="1802" max="1802" width="9.33203125" style="1036" bestFit="1" customWidth="1"/>
    <col min="1803" max="1803" width="4" style="1036" customWidth="1"/>
    <col min="1804" max="1804" width="5.109375" style="1036" customWidth="1"/>
    <col min="1805" max="1805" width="13.77734375" style="1036" customWidth="1"/>
    <col min="1806" max="2048" width="9" style="1036"/>
    <col min="2049" max="2049" width="4.88671875" style="1036" customWidth="1"/>
    <col min="2050" max="2050" width="13.21875" style="1036" customWidth="1"/>
    <col min="2051" max="2051" width="15.6640625" style="1036" customWidth="1"/>
    <col min="2052" max="2052" width="9.33203125" style="1036" bestFit="1" customWidth="1"/>
    <col min="2053" max="2053" width="13.44140625" style="1036" customWidth="1"/>
    <col min="2054" max="2054" width="9" style="1036"/>
    <col min="2055" max="2055" width="9.33203125" style="1036" bestFit="1" customWidth="1"/>
    <col min="2056" max="2057" width="9" style="1036"/>
    <col min="2058" max="2058" width="9.33203125" style="1036" bestFit="1" customWidth="1"/>
    <col min="2059" max="2059" width="4" style="1036" customWidth="1"/>
    <col min="2060" max="2060" width="5.109375" style="1036" customWidth="1"/>
    <col min="2061" max="2061" width="13.77734375" style="1036" customWidth="1"/>
    <col min="2062" max="2304" width="9" style="1036"/>
    <col min="2305" max="2305" width="4.88671875" style="1036" customWidth="1"/>
    <col min="2306" max="2306" width="13.21875" style="1036" customWidth="1"/>
    <col min="2307" max="2307" width="15.6640625" style="1036" customWidth="1"/>
    <col min="2308" max="2308" width="9.33203125" style="1036" bestFit="1" customWidth="1"/>
    <col min="2309" max="2309" width="13.44140625" style="1036" customWidth="1"/>
    <col min="2310" max="2310" width="9" style="1036"/>
    <col min="2311" max="2311" width="9.33203125" style="1036" bestFit="1" customWidth="1"/>
    <col min="2312" max="2313" width="9" style="1036"/>
    <col min="2314" max="2314" width="9.33203125" style="1036" bestFit="1" customWidth="1"/>
    <col min="2315" max="2315" width="4" style="1036" customWidth="1"/>
    <col min="2316" max="2316" width="5.109375" style="1036" customWidth="1"/>
    <col min="2317" max="2317" width="13.77734375" style="1036" customWidth="1"/>
    <col min="2318" max="2560" width="9" style="1036"/>
    <col min="2561" max="2561" width="4.88671875" style="1036" customWidth="1"/>
    <col min="2562" max="2562" width="13.21875" style="1036" customWidth="1"/>
    <col min="2563" max="2563" width="15.6640625" style="1036" customWidth="1"/>
    <col min="2564" max="2564" width="9.33203125" style="1036" bestFit="1" customWidth="1"/>
    <col min="2565" max="2565" width="13.44140625" style="1036" customWidth="1"/>
    <col min="2566" max="2566" width="9" style="1036"/>
    <col min="2567" max="2567" width="9.33203125" style="1036" bestFit="1" customWidth="1"/>
    <col min="2568" max="2569" width="9" style="1036"/>
    <col min="2570" max="2570" width="9.33203125" style="1036" bestFit="1" customWidth="1"/>
    <col min="2571" max="2571" width="4" style="1036" customWidth="1"/>
    <col min="2572" max="2572" width="5.109375" style="1036" customWidth="1"/>
    <col min="2573" max="2573" width="13.77734375" style="1036" customWidth="1"/>
    <col min="2574" max="2816" width="9" style="1036"/>
    <col min="2817" max="2817" width="4.88671875" style="1036" customWidth="1"/>
    <col min="2818" max="2818" width="13.21875" style="1036" customWidth="1"/>
    <col min="2819" max="2819" width="15.6640625" style="1036" customWidth="1"/>
    <col min="2820" max="2820" width="9.33203125" style="1036" bestFit="1" customWidth="1"/>
    <col min="2821" max="2821" width="13.44140625" style="1036" customWidth="1"/>
    <col min="2822" max="2822" width="9" style="1036"/>
    <col min="2823" max="2823" width="9.33203125" style="1036" bestFit="1" customWidth="1"/>
    <col min="2824" max="2825" width="9" style="1036"/>
    <col min="2826" max="2826" width="9.33203125" style="1036" bestFit="1" customWidth="1"/>
    <col min="2827" max="2827" width="4" style="1036" customWidth="1"/>
    <col min="2828" max="2828" width="5.109375" style="1036" customWidth="1"/>
    <col min="2829" max="2829" width="13.77734375" style="1036" customWidth="1"/>
    <col min="2830" max="3072" width="9" style="1036"/>
    <col min="3073" max="3073" width="4.88671875" style="1036" customWidth="1"/>
    <col min="3074" max="3074" width="13.21875" style="1036" customWidth="1"/>
    <col min="3075" max="3075" width="15.6640625" style="1036" customWidth="1"/>
    <col min="3076" max="3076" width="9.33203125" style="1036" bestFit="1" customWidth="1"/>
    <col min="3077" max="3077" width="13.44140625" style="1036" customWidth="1"/>
    <col min="3078" max="3078" width="9" style="1036"/>
    <col min="3079" max="3079" width="9.33203125" style="1036" bestFit="1" customWidth="1"/>
    <col min="3080" max="3081" width="9" style="1036"/>
    <col min="3082" max="3082" width="9.33203125" style="1036" bestFit="1" customWidth="1"/>
    <col min="3083" max="3083" width="4" style="1036" customWidth="1"/>
    <col min="3084" max="3084" width="5.109375" style="1036" customWidth="1"/>
    <col min="3085" max="3085" width="13.77734375" style="1036" customWidth="1"/>
    <col min="3086" max="3328" width="9" style="1036"/>
    <col min="3329" max="3329" width="4.88671875" style="1036" customWidth="1"/>
    <col min="3330" max="3330" width="13.21875" style="1036" customWidth="1"/>
    <col min="3331" max="3331" width="15.6640625" style="1036" customWidth="1"/>
    <col min="3332" max="3332" width="9.33203125" style="1036" bestFit="1" customWidth="1"/>
    <col min="3333" max="3333" width="13.44140625" style="1036" customWidth="1"/>
    <col min="3334" max="3334" width="9" style="1036"/>
    <col min="3335" max="3335" width="9.33203125" style="1036" bestFit="1" customWidth="1"/>
    <col min="3336" max="3337" width="9" style="1036"/>
    <col min="3338" max="3338" width="9.33203125" style="1036" bestFit="1" customWidth="1"/>
    <col min="3339" max="3339" width="4" style="1036" customWidth="1"/>
    <col min="3340" max="3340" width="5.109375" style="1036" customWidth="1"/>
    <col min="3341" max="3341" width="13.77734375" style="1036" customWidth="1"/>
    <col min="3342" max="3584" width="9" style="1036"/>
    <col min="3585" max="3585" width="4.88671875" style="1036" customWidth="1"/>
    <col min="3586" max="3586" width="13.21875" style="1036" customWidth="1"/>
    <col min="3587" max="3587" width="15.6640625" style="1036" customWidth="1"/>
    <col min="3588" max="3588" width="9.33203125" style="1036" bestFit="1" customWidth="1"/>
    <col min="3589" max="3589" width="13.44140625" style="1036" customWidth="1"/>
    <col min="3590" max="3590" width="9" style="1036"/>
    <col min="3591" max="3591" width="9.33203125" style="1036" bestFit="1" customWidth="1"/>
    <col min="3592" max="3593" width="9" style="1036"/>
    <col min="3594" max="3594" width="9.33203125" style="1036" bestFit="1" customWidth="1"/>
    <col min="3595" max="3595" width="4" style="1036" customWidth="1"/>
    <col min="3596" max="3596" width="5.109375" style="1036" customWidth="1"/>
    <col min="3597" max="3597" width="13.77734375" style="1036" customWidth="1"/>
    <col min="3598" max="3840" width="9" style="1036"/>
    <col min="3841" max="3841" width="4.88671875" style="1036" customWidth="1"/>
    <col min="3842" max="3842" width="13.21875" style="1036" customWidth="1"/>
    <col min="3843" max="3843" width="15.6640625" style="1036" customWidth="1"/>
    <col min="3844" max="3844" width="9.33203125" style="1036" bestFit="1" customWidth="1"/>
    <col min="3845" max="3845" width="13.44140625" style="1036" customWidth="1"/>
    <col min="3846" max="3846" width="9" style="1036"/>
    <col min="3847" max="3847" width="9.33203125" style="1036" bestFit="1" customWidth="1"/>
    <col min="3848" max="3849" width="9" style="1036"/>
    <col min="3850" max="3850" width="9.33203125" style="1036" bestFit="1" customWidth="1"/>
    <col min="3851" max="3851" width="4" style="1036" customWidth="1"/>
    <col min="3852" max="3852" width="5.109375" style="1036" customWidth="1"/>
    <col min="3853" max="3853" width="13.77734375" style="1036" customWidth="1"/>
    <col min="3854" max="4096" width="9" style="1036"/>
    <col min="4097" max="4097" width="4.88671875" style="1036" customWidth="1"/>
    <col min="4098" max="4098" width="13.21875" style="1036" customWidth="1"/>
    <col min="4099" max="4099" width="15.6640625" style="1036" customWidth="1"/>
    <col min="4100" max="4100" width="9.33203125" style="1036" bestFit="1" customWidth="1"/>
    <col min="4101" max="4101" width="13.44140625" style="1036" customWidth="1"/>
    <col min="4102" max="4102" width="9" style="1036"/>
    <col min="4103" max="4103" width="9.33203125" style="1036" bestFit="1" customWidth="1"/>
    <col min="4104" max="4105" width="9" style="1036"/>
    <col min="4106" max="4106" width="9.33203125" style="1036" bestFit="1" customWidth="1"/>
    <col min="4107" max="4107" width="4" style="1036" customWidth="1"/>
    <col min="4108" max="4108" width="5.109375" style="1036" customWidth="1"/>
    <col min="4109" max="4109" width="13.77734375" style="1036" customWidth="1"/>
    <col min="4110" max="4352" width="9" style="1036"/>
    <col min="4353" max="4353" width="4.88671875" style="1036" customWidth="1"/>
    <col min="4354" max="4354" width="13.21875" style="1036" customWidth="1"/>
    <col min="4355" max="4355" width="15.6640625" style="1036" customWidth="1"/>
    <col min="4356" max="4356" width="9.33203125" style="1036" bestFit="1" customWidth="1"/>
    <col min="4357" max="4357" width="13.44140625" style="1036" customWidth="1"/>
    <col min="4358" max="4358" width="9" style="1036"/>
    <col min="4359" max="4359" width="9.33203125" style="1036" bestFit="1" customWidth="1"/>
    <col min="4360" max="4361" width="9" style="1036"/>
    <col min="4362" max="4362" width="9.33203125" style="1036" bestFit="1" customWidth="1"/>
    <col min="4363" max="4363" width="4" style="1036" customWidth="1"/>
    <col min="4364" max="4364" width="5.109375" style="1036" customWidth="1"/>
    <col min="4365" max="4365" width="13.77734375" style="1036" customWidth="1"/>
    <col min="4366" max="4608" width="9" style="1036"/>
    <col min="4609" max="4609" width="4.88671875" style="1036" customWidth="1"/>
    <col min="4610" max="4610" width="13.21875" style="1036" customWidth="1"/>
    <col min="4611" max="4611" width="15.6640625" style="1036" customWidth="1"/>
    <col min="4612" max="4612" width="9.33203125" style="1036" bestFit="1" customWidth="1"/>
    <col min="4613" max="4613" width="13.44140625" style="1036" customWidth="1"/>
    <col min="4614" max="4614" width="9" style="1036"/>
    <col min="4615" max="4615" width="9.33203125" style="1036" bestFit="1" customWidth="1"/>
    <col min="4616" max="4617" width="9" style="1036"/>
    <col min="4618" max="4618" width="9.33203125" style="1036" bestFit="1" customWidth="1"/>
    <col min="4619" max="4619" width="4" style="1036" customWidth="1"/>
    <col min="4620" max="4620" width="5.109375" style="1036" customWidth="1"/>
    <col min="4621" max="4621" width="13.77734375" style="1036" customWidth="1"/>
    <col min="4622" max="4864" width="9" style="1036"/>
    <col min="4865" max="4865" width="4.88671875" style="1036" customWidth="1"/>
    <col min="4866" max="4866" width="13.21875" style="1036" customWidth="1"/>
    <col min="4867" max="4867" width="15.6640625" style="1036" customWidth="1"/>
    <col min="4868" max="4868" width="9.33203125" style="1036" bestFit="1" customWidth="1"/>
    <col min="4869" max="4869" width="13.44140625" style="1036" customWidth="1"/>
    <col min="4870" max="4870" width="9" style="1036"/>
    <col min="4871" max="4871" width="9.33203125" style="1036" bestFit="1" customWidth="1"/>
    <col min="4872" max="4873" width="9" style="1036"/>
    <col min="4874" max="4874" width="9.33203125" style="1036" bestFit="1" customWidth="1"/>
    <col min="4875" max="4875" width="4" style="1036" customWidth="1"/>
    <col min="4876" max="4876" width="5.109375" style="1036" customWidth="1"/>
    <col min="4877" max="4877" width="13.77734375" style="1036" customWidth="1"/>
    <col min="4878" max="5120" width="9" style="1036"/>
    <col min="5121" max="5121" width="4.88671875" style="1036" customWidth="1"/>
    <col min="5122" max="5122" width="13.21875" style="1036" customWidth="1"/>
    <col min="5123" max="5123" width="15.6640625" style="1036" customWidth="1"/>
    <col min="5124" max="5124" width="9.33203125" style="1036" bestFit="1" customWidth="1"/>
    <col min="5125" max="5125" width="13.44140625" style="1036" customWidth="1"/>
    <col min="5126" max="5126" width="9" style="1036"/>
    <col min="5127" max="5127" width="9.33203125" style="1036" bestFit="1" customWidth="1"/>
    <col min="5128" max="5129" width="9" style="1036"/>
    <col min="5130" max="5130" width="9.33203125" style="1036" bestFit="1" customWidth="1"/>
    <col min="5131" max="5131" width="4" style="1036" customWidth="1"/>
    <col min="5132" max="5132" width="5.109375" style="1036" customWidth="1"/>
    <col min="5133" max="5133" width="13.77734375" style="1036" customWidth="1"/>
    <col min="5134" max="5376" width="9" style="1036"/>
    <col min="5377" max="5377" width="4.88671875" style="1036" customWidth="1"/>
    <col min="5378" max="5378" width="13.21875" style="1036" customWidth="1"/>
    <col min="5379" max="5379" width="15.6640625" style="1036" customWidth="1"/>
    <col min="5380" max="5380" width="9.33203125" style="1036" bestFit="1" customWidth="1"/>
    <col min="5381" max="5381" width="13.44140625" style="1036" customWidth="1"/>
    <col min="5382" max="5382" width="9" style="1036"/>
    <col min="5383" max="5383" width="9.33203125" style="1036" bestFit="1" customWidth="1"/>
    <col min="5384" max="5385" width="9" style="1036"/>
    <col min="5386" max="5386" width="9.33203125" style="1036" bestFit="1" customWidth="1"/>
    <col min="5387" max="5387" width="4" style="1036" customWidth="1"/>
    <col min="5388" max="5388" width="5.109375" style="1036" customWidth="1"/>
    <col min="5389" max="5389" width="13.77734375" style="1036" customWidth="1"/>
    <col min="5390" max="5632" width="9" style="1036"/>
    <col min="5633" max="5633" width="4.88671875" style="1036" customWidth="1"/>
    <col min="5634" max="5634" width="13.21875" style="1036" customWidth="1"/>
    <col min="5635" max="5635" width="15.6640625" style="1036" customWidth="1"/>
    <col min="5636" max="5636" width="9.33203125" style="1036" bestFit="1" customWidth="1"/>
    <col min="5637" max="5637" width="13.44140625" style="1036" customWidth="1"/>
    <col min="5638" max="5638" width="9" style="1036"/>
    <col min="5639" max="5639" width="9.33203125" style="1036" bestFit="1" customWidth="1"/>
    <col min="5640" max="5641" width="9" style="1036"/>
    <col min="5642" max="5642" width="9.33203125" style="1036" bestFit="1" customWidth="1"/>
    <col min="5643" max="5643" width="4" style="1036" customWidth="1"/>
    <col min="5644" max="5644" width="5.109375" style="1036" customWidth="1"/>
    <col min="5645" max="5645" width="13.77734375" style="1036" customWidth="1"/>
    <col min="5646" max="5888" width="9" style="1036"/>
    <col min="5889" max="5889" width="4.88671875" style="1036" customWidth="1"/>
    <col min="5890" max="5890" width="13.21875" style="1036" customWidth="1"/>
    <col min="5891" max="5891" width="15.6640625" style="1036" customWidth="1"/>
    <col min="5892" max="5892" width="9.33203125" style="1036" bestFit="1" customWidth="1"/>
    <col min="5893" max="5893" width="13.44140625" style="1036" customWidth="1"/>
    <col min="5894" max="5894" width="9" style="1036"/>
    <col min="5895" max="5895" width="9.33203125" style="1036" bestFit="1" customWidth="1"/>
    <col min="5896" max="5897" width="9" style="1036"/>
    <col min="5898" max="5898" width="9.33203125" style="1036" bestFit="1" customWidth="1"/>
    <col min="5899" max="5899" width="4" style="1036" customWidth="1"/>
    <col min="5900" max="5900" width="5.109375" style="1036" customWidth="1"/>
    <col min="5901" max="5901" width="13.77734375" style="1036" customWidth="1"/>
    <col min="5902" max="6144" width="9" style="1036"/>
    <col min="6145" max="6145" width="4.88671875" style="1036" customWidth="1"/>
    <col min="6146" max="6146" width="13.21875" style="1036" customWidth="1"/>
    <col min="6147" max="6147" width="15.6640625" style="1036" customWidth="1"/>
    <col min="6148" max="6148" width="9.33203125" style="1036" bestFit="1" customWidth="1"/>
    <col min="6149" max="6149" width="13.44140625" style="1036" customWidth="1"/>
    <col min="6150" max="6150" width="9" style="1036"/>
    <col min="6151" max="6151" width="9.33203125" style="1036" bestFit="1" customWidth="1"/>
    <col min="6152" max="6153" width="9" style="1036"/>
    <col min="6154" max="6154" width="9.33203125" style="1036" bestFit="1" customWidth="1"/>
    <col min="6155" max="6155" width="4" style="1036" customWidth="1"/>
    <col min="6156" max="6156" width="5.109375" style="1036" customWidth="1"/>
    <col min="6157" max="6157" width="13.77734375" style="1036" customWidth="1"/>
    <col min="6158" max="6400" width="9" style="1036"/>
    <col min="6401" max="6401" width="4.88671875" style="1036" customWidth="1"/>
    <col min="6402" max="6402" width="13.21875" style="1036" customWidth="1"/>
    <col min="6403" max="6403" width="15.6640625" style="1036" customWidth="1"/>
    <col min="6404" max="6404" width="9.33203125" style="1036" bestFit="1" customWidth="1"/>
    <col min="6405" max="6405" width="13.44140625" style="1036" customWidth="1"/>
    <col min="6406" max="6406" width="9" style="1036"/>
    <col min="6407" max="6407" width="9.33203125" style="1036" bestFit="1" customWidth="1"/>
    <col min="6408" max="6409" width="9" style="1036"/>
    <col min="6410" max="6410" width="9.33203125" style="1036" bestFit="1" customWidth="1"/>
    <col min="6411" max="6411" width="4" style="1036" customWidth="1"/>
    <col min="6412" max="6412" width="5.109375" style="1036" customWidth="1"/>
    <col min="6413" max="6413" width="13.77734375" style="1036" customWidth="1"/>
    <col min="6414" max="6656" width="9" style="1036"/>
    <col min="6657" max="6657" width="4.88671875" style="1036" customWidth="1"/>
    <col min="6658" max="6658" width="13.21875" style="1036" customWidth="1"/>
    <col min="6659" max="6659" width="15.6640625" style="1036" customWidth="1"/>
    <col min="6660" max="6660" width="9.33203125" style="1036" bestFit="1" customWidth="1"/>
    <col min="6661" max="6661" width="13.44140625" style="1036" customWidth="1"/>
    <col min="6662" max="6662" width="9" style="1036"/>
    <col min="6663" max="6663" width="9.33203125" style="1036" bestFit="1" customWidth="1"/>
    <col min="6664" max="6665" width="9" style="1036"/>
    <col min="6666" max="6666" width="9.33203125" style="1036" bestFit="1" customWidth="1"/>
    <col min="6667" max="6667" width="4" style="1036" customWidth="1"/>
    <col min="6668" max="6668" width="5.109375" style="1036" customWidth="1"/>
    <col min="6669" max="6669" width="13.77734375" style="1036" customWidth="1"/>
    <col min="6670" max="6912" width="9" style="1036"/>
    <col min="6913" max="6913" width="4.88671875" style="1036" customWidth="1"/>
    <col min="6914" max="6914" width="13.21875" style="1036" customWidth="1"/>
    <col min="6915" max="6915" width="15.6640625" style="1036" customWidth="1"/>
    <col min="6916" max="6916" width="9.33203125" style="1036" bestFit="1" customWidth="1"/>
    <col min="6917" max="6917" width="13.44140625" style="1036" customWidth="1"/>
    <col min="6918" max="6918" width="9" style="1036"/>
    <col min="6919" max="6919" width="9.33203125" style="1036" bestFit="1" customWidth="1"/>
    <col min="6920" max="6921" width="9" style="1036"/>
    <col min="6922" max="6922" width="9.33203125" style="1036" bestFit="1" customWidth="1"/>
    <col min="6923" max="6923" width="4" style="1036" customWidth="1"/>
    <col min="6924" max="6924" width="5.109375" style="1036" customWidth="1"/>
    <col min="6925" max="6925" width="13.77734375" style="1036" customWidth="1"/>
    <col min="6926" max="7168" width="9" style="1036"/>
    <col min="7169" max="7169" width="4.88671875" style="1036" customWidth="1"/>
    <col min="7170" max="7170" width="13.21875" style="1036" customWidth="1"/>
    <col min="7171" max="7171" width="15.6640625" style="1036" customWidth="1"/>
    <col min="7172" max="7172" width="9.33203125" style="1036" bestFit="1" customWidth="1"/>
    <col min="7173" max="7173" width="13.44140625" style="1036" customWidth="1"/>
    <col min="7174" max="7174" width="9" style="1036"/>
    <col min="7175" max="7175" width="9.33203125" style="1036" bestFit="1" customWidth="1"/>
    <col min="7176" max="7177" width="9" style="1036"/>
    <col min="7178" max="7178" width="9.33203125" style="1036" bestFit="1" customWidth="1"/>
    <col min="7179" max="7179" width="4" style="1036" customWidth="1"/>
    <col min="7180" max="7180" width="5.109375" style="1036" customWidth="1"/>
    <col min="7181" max="7181" width="13.77734375" style="1036" customWidth="1"/>
    <col min="7182" max="7424" width="9" style="1036"/>
    <col min="7425" max="7425" width="4.88671875" style="1036" customWidth="1"/>
    <col min="7426" max="7426" width="13.21875" style="1036" customWidth="1"/>
    <col min="7427" max="7427" width="15.6640625" style="1036" customWidth="1"/>
    <col min="7428" max="7428" width="9.33203125" style="1036" bestFit="1" customWidth="1"/>
    <col min="7429" max="7429" width="13.44140625" style="1036" customWidth="1"/>
    <col min="7430" max="7430" width="9" style="1036"/>
    <col min="7431" max="7431" width="9.33203125" style="1036" bestFit="1" customWidth="1"/>
    <col min="7432" max="7433" width="9" style="1036"/>
    <col min="7434" max="7434" width="9.33203125" style="1036" bestFit="1" customWidth="1"/>
    <col min="7435" max="7435" width="4" style="1036" customWidth="1"/>
    <col min="7436" max="7436" width="5.109375" style="1036" customWidth="1"/>
    <col min="7437" max="7437" width="13.77734375" style="1036" customWidth="1"/>
    <col min="7438" max="7680" width="9" style="1036"/>
    <col min="7681" max="7681" width="4.88671875" style="1036" customWidth="1"/>
    <col min="7682" max="7682" width="13.21875" style="1036" customWidth="1"/>
    <col min="7683" max="7683" width="15.6640625" style="1036" customWidth="1"/>
    <col min="7684" max="7684" width="9.33203125" style="1036" bestFit="1" customWidth="1"/>
    <col min="7685" max="7685" width="13.44140625" style="1036" customWidth="1"/>
    <col min="7686" max="7686" width="9" style="1036"/>
    <col min="7687" max="7687" width="9.33203125" style="1036" bestFit="1" customWidth="1"/>
    <col min="7688" max="7689" width="9" style="1036"/>
    <col min="7690" max="7690" width="9.33203125" style="1036" bestFit="1" customWidth="1"/>
    <col min="7691" max="7691" width="4" style="1036" customWidth="1"/>
    <col min="7692" max="7692" width="5.109375" style="1036" customWidth="1"/>
    <col min="7693" max="7693" width="13.77734375" style="1036" customWidth="1"/>
    <col min="7694" max="7936" width="9" style="1036"/>
    <col min="7937" max="7937" width="4.88671875" style="1036" customWidth="1"/>
    <col min="7938" max="7938" width="13.21875" style="1036" customWidth="1"/>
    <col min="7939" max="7939" width="15.6640625" style="1036" customWidth="1"/>
    <col min="7940" max="7940" width="9.33203125" style="1036" bestFit="1" customWidth="1"/>
    <col min="7941" max="7941" width="13.44140625" style="1036" customWidth="1"/>
    <col min="7942" max="7942" width="9" style="1036"/>
    <col min="7943" max="7943" width="9.33203125" style="1036" bestFit="1" customWidth="1"/>
    <col min="7944" max="7945" width="9" style="1036"/>
    <col min="7946" max="7946" width="9.33203125" style="1036" bestFit="1" customWidth="1"/>
    <col min="7947" max="7947" width="4" style="1036" customWidth="1"/>
    <col min="7948" max="7948" width="5.109375" style="1036" customWidth="1"/>
    <col min="7949" max="7949" width="13.77734375" style="1036" customWidth="1"/>
    <col min="7950" max="8192" width="9" style="1036"/>
    <col min="8193" max="8193" width="4.88671875" style="1036" customWidth="1"/>
    <col min="8194" max="8194" width="13.21875" style="1036" customWidth="1"/>
    <col min="8195" max="8195" width="15.6640625" style="1036" customWidth="1"/>
    <col min="8196" max="8196" width="9.33203125" style="1036" bestFit="1" customWidth="1"/>
    <col min="8197" max="8197" width="13.44140625" style="1036" customWidth="1"/>
    <col min="8198" max="8198" width="9" style="1036"/>
    <col min="8199" max="8199" width="9.33203125" style="1036" bestFit="1" customWidth="1"/>
    <col min="8200" max="8201" width="9" style="1036"/>
    <col min="8202" max="8202" width="9.33203125" style="1036" bestFit="1" customWidth="1"/>
    <col min="8203" max="8203" width="4" style="1036" customWidth="1"/>
    <col min="8204" max="8204" width="5.109375" style="1036" customWidth="1"/>
    <col min="8205" max="8205" width="13.77734375" style="1036" customWidth="1"/>
    <col min="8206" max="8448" width="9" style="1036"/>
    <col min="8449" max="8449" width="4.88671875" style="1036" customWidth="1"/>
    <col min="8450" max="8450" width="13.21875" style="1036" customWidth="1"/>
    <col min="8451" max="8451" width="15.6640625" style="1036" customWidth="1"/>
    <col min="8452" max="8452" width="9.33203125" style="1036" bestFit="1" customWidth="1"/>
    <col min="8453" max="8453" width="13.44140625" style="1036" customWidth="1"/>
    <col min="8454" max="8454" width="9" style="1036"/>
    <col min="8455" max="8455" width="9.33203125" style="1036" bestFit="1" customWidth="1"/>
    <col min="8456" max="8457" width="9" style="1036"/>
    <col min="8458" max="8458" width="9.33203125" style="1036" bestFit="1" customWidth="1"/>
    <col min="8459" max="8459" width="4" style="1036" customWidth="1"/>
    <col min="8460" max="8460" width="5.109375" style="1036" customWidth="1"/>
    <col min="8461" max="8461" width="13.77734375" style="1036" customWidth="1"/>
    <col min="8462" max="8704" width="9" style="1036"/>
    <col min="8705" max="8705" width="4.88671875" style="1036" customWidth="1"/>
    <col min="8706" max="8706" width="13.21875" style="1036" customWidth="1"/>
    <col min="8707" max="8707" width="15.6640625" style="1036" customWidth="1"/>
    <col min="8708" max="8708" width="9.33203125" style="1036" bestFit="1" customWidth="1"/>
    <col min="8709" max="8709" width="13.44140625" style="1036" customWidth="1"/>
    <col min="8710" max="8710" width="9" style="1036"/>
    <col min="8711" max="8711" width="9.33203125" style="1036" bestFit="1" customWidth="1"/>
    <col min="8712" max="8713" width="9" style="1036"/>
    <col min="8714" max="8714" width="9.33203125" style="1036" bestFit="1" customWidth="1"/>
    <col min="8715" max="8715" width="4" style="1036" customWidth="1"/>
    <col min="8716" max="8716" width="5.109375" style="1036" customWidth="1"/>
    <col min="8717" max="8717" width="13.77734375" style="1036" customWidth="1"/>
    <col min="8718" max="8960" width="9" style="1036"/>
    <col min="8961" max="8961" width="4.88671875" style="1036" customWidth="1"/>
    <col min="8962" max="8962" width="13.21875" style="1036" customWidth="1"/>
    <col min="8963" max="8963" width="15.6640625" style="1036" customWidth="1"/>
    <col min="8964" max="8964" width="9.33203125" style="1036" bestFit="1" customWidth="1"/>
    <col min="8965" max="8965" width="13.44140625" style="1036" customWidth="1"/>
    <col min="8966" max="8966" width="9" style="1036"/>
    <col min="8967" max="8967" width="9.33203125" style="1036" bestFit="1" customWidth="1"/>
    <col min="8968" max="8969" width="9" style="1036"/>
    <col min="8970" max="8970" width="9.33203125" style="1036" bestFit="1" customWidth="1"/>
    <col min="8971" max="8971" width="4" style="1036" customWidth="1"/>
    <col min="8972" max="8972" width="5.109375" style="1036" customWidth="1"/>
    <col min="8973" max="8973" width="13.77734375" style="1036" customWidth="1"/>
    <col min="8974" max="9216" width="9" style="1036"/>
    <col min="9217" max="9217" width="4.88671875" style="1036" customWidth="1"/>
    <col min="9218" max="9218" width="13.21875" style="1036" customWidth="1"/>
    <col min="9219" max="9219" width="15.6640625" style="1036" customWidth="1"/>
    <col min="9220" max="9220" width="9.33203125" style="1036" bestFit="1" customWidth="1"/>
    <col min="9221" max="9221" width="13.44140625" style="1036" customWidth="1"/>
    <col min="9222" max="9222" width="9" style="1036"/>
    <col min="9223" max="9223" width="9.33203125" style="1036" bestFit="1" customWidth="1"/>
    <col min="9224" max="9225" width="9" style="1036"/>
    <col min="9226" max="9226" width="9.33203125" style="1036" bestFit="1" customWidth="1"/>
    <col min="9227" max="9227" width="4" style="1036" customWidth="1"/>
    <col min="9228" max="9228" width="5.109375" style="1036" customWidth="1"/>
    <col min="9229" max="9229" width="13.77734375" style="1036" customWidth="1"/>
    <col min="9230" max="9472" width="9" style="1036"/>
    <col min="9473" max="9473" width="4.88671875" style="1036" customWidth="1"/>
    <col min="9474" max="9474" width="13.21875" style="1036" customWidth="1"/>
    <col min="9475" max="9475" width="15.6640625" style="1036" customWidth="1"/>
    <col min="9476" max="9476" width="9.33203125" style="1036" bestFit="1" customWidth="1"/>
    <col min="9477" max="9477" width="13.44140625" style="1036" customWidth="1"/>
    <col min="9478" max="9478" width="9" style="1036"/>
    <col min="9479" max="9479" width="9.33203125" style="1036" bestFit="1" customWidth="1"/>
    <col min="9480" max="9481" width="9" style="1036"/>
    <col min="9482" max="9482" width="9.33203125" style="1036" bestFit="1" customWidth="1"/>
    <col min="9483" max="9483" width="4" style="1036" customWidth="1"/>
    <col min="9484" max="9484" width="5.109375" style="1036" customWidth="1"/>
    <col min="9485" max="9485" width="13.77734375" style="1036" customWidth="1"/>
    <col min="9486" max="9728" width="9" style="1036"/>
    <col min="9729" max="9729" width="4.88671875" style="1036" customWidth="1"/>
    <col min="9730" max="9730" width="13.21875" style="1036" customWidth="1"/>
    <col min="9731" max="9731" width="15.6640625" style="1036" customWidth="1"/>
    <col min="9732" max="9732" width="9.33203125" style="1036" bestFit="1" customWidth="1"/>
    <col min="9733" max="9733" width="13.44140625" style="1036" customWidth="1"/>
    <col min="9734" max="9734" width="9" style="1036"/>
    <col min="9735" max="9735" width="9.33203125" style="1036" bestFit="1" customWidth="1"/>
    <col min="9736" max="9737" width="9" style="1036"/>
    <col min="9738" max="9738" width="9.33203125" style="1036" bestFit="1" customWidth="1"/>
    <col min="9739" max="9739" width="4" style="1036" customWidth="1"/>
    <col min="9740" max="9740" width="5.109375" style="1036" customWidth="1"/>
    <col min="9741" max="9741" width="13.77734375" style="1036" customWidth="1"/>
    <col min="9742" max="9984" width="9" style="1036"/>
    <col min="9985" max="9985" width="4.88671875" style="1036" customWidth="1"/>
    <col min="9986" max="9986" width="13.21875" style="1036" customWidth="1"/>
    <col min="9987" max="9987" width="15.6640625" style="1036" customWidth="1"/>
    <col min="9988" max="9988" width="9.33203125" style="1036" bestFit="1" customWidth="1"/>
    <col min="9989" max="9989" width="13.44140625" style="1036" customWidth="1"/>
    <col min="9990" max="9990" width="9" style="1036"/>
    <col min="9991" max="9991" width="9.33203125" style="1036" bestFit="1" customWidth="1"/>
    <col min="9992" max="9993" width="9" style="1036"/>
    <col min="9994" max="9994" width="9.33203125" style="1036" bestFit="1" customWidth="1"/>
    <col min="9995" max="9995" width="4" style="1036" customWidth="1"/>
    <col min="9996" max="9996" width="5.109375" style="1036" customWidth="1"/>
    <col min="9997" max="9997" width="13.77734375" style="1036" customWidth="1"/>
    <col min="9998" max="10240" width="9" style="1036"/>
    <col min="10241" max="10241" width="4.88671875" style="1036" customWidth="1"/>
    <col min="10242" max="10242" width="13.21875" style="1036" customWidth="1"/>
    <col min="10243" max="10243" width="15.6640625" style="1036" customWidth="1"/>
    <col min="10244" max="10244" width="9.33203125" style="1036" bestFit="1" customWidth="1"/>
    <col min="10245" max="10245" width="13.44140625" style="1036" customWidth="1"/>
    <col min="10246" max="10246" width="9" style="1036"/>
    <col min="10247" max="10247" width="9.33203125" style="1036" bestFit="1" customWidth="1"/>
    <col min="10248" max="10249" width="9" style="1036"/>
    <col min="10250" max="10250" width="9.33203125" style="1036" bestFit="1" customWidth="1"/>
    <col min="10251" max="10251" width="4" style="1036" customWidth="1"/>
    <col min="10252" max="10252" width="5.109375" style="1036" customWidth="1"/>
    <col min="10253" max="10253" width="13.77734375" style="1036" customWidth="1"/>
    <col min="10254" max="10496" width="9" style="1036"/>
    <col min="10497" max="10497" width="4.88671875" style="1036" customWidth="1"/>
    <col min="10498" max="10498" width="13.21875" style="1036" customWidth="1"/>
    <col min="10499" max="10499" width="15.6640625" style="1036" customWidth="1"/>
    <col min="10500" max="10500" width="9.33203125" style="1036" bestFit="1" customWidth="1"/>
    <col min="10501" max="10501" width="13.44140625" style="1036" customWidth="1"/>
    <col min="10502" max="10502" width="9" style="1036"/>
    <col min="10503" max="10503" width="9.33203125" style="1036" bestFit="1" customWidth="1"/>
    <col min="10504" max="10505" width="9" style="1036"/>
    <col min="10506" max="10506" width="9.33203125" style="1036" bestFit="1" customWidth="1"/>
    <col min="10507" max="10507" width="4" style="1036" customWidth="1"/>
    <col min="10508" max="10508" width="5.109375" style="1036" customWidth="1"/>
    <col min="10509" max="10509" width="13.77734375" style="1036" customWidth="1"/>
    <col min="10510" max="10752" width="9" style="1036"/>
    <col min="10753" max="10753" width="4.88671875" style="1036" customWidth="1"/>
    <col min="10754" max="10754" width="13.21875" style="1036" customWidth="1"/>
    <col min="10755" max="10755" width="15.6640625" style="1036" customWidth="1"/>
    <col min="10756" max="10756" width="9.33203125" style="1036" bestFit="1" customWidth="1"/>
    <col min="10757" max="10757" width="13.44140625" style="1036" customWidth="1"/>
    <col min="10758" max="10758" width="9" style="1036"/>
    <col min="10759" max="10759" width="9.33203125" style="1036" bestFit="1" customWidth="1"/>
    <col min="10760" max="10761" width="9" style="1036"/>
    <col min="10762" max="10762" width="9.33203125" style="1036" bestFit="1" customWidth="1"/>
    <col min="10763" max="10763" width="4" style="1036" customWidth="1"/>
    <col min="10764" max="10764" width="5.109375" style="1036" customWidth="1"/>
    <col min="10765" max="10765" width="13.77734375" style="1036" customWidth="1"/>
    <col min="10766" max="11008" width="9" style="1036"/>
    <col min="11009" max="11009" width="4.88671875" style="1036" customWidth="1"/>
    <col min="11010" max="11010" width="13.21875" style="1036" customWidth="1"/>
    <col min="11011" max="11011" width="15.6640625" style="1036" customWidth="1"/>
    <col min="11012" max="11012" width="9.33203125" style="1036" bestFit="1" customWidth="1"/>
    <col min="11013" max="11013" width="13.44140625" style="1036" customWidth="1"/>
    <col min="11014" max="11014" width="9" style="1036"/>
    <col min="11015" max="11015" width="9.33203125" style="1036" bestFit="1" customWidth="1"/>
    <col min="11016" max="11017" width="9" style="1036"/>
    <col min="11018" max="11018" width="9.33203125" style="1036" bestFit="1" customWidth="1"/>
    <col min="11019" max="11019" width="4" style="1036" customWidth="1"/>
    <col min="11020" max="11020" width="5.109375" style="1036" customWidth="1"/>
    <col min="11021" max="11021" width="13.77734375" style="1036" customWidth="1"/>
    <col min="11022" max="11264" width="9" style="1036"/>
    <col min="11265" max="11265" width="4.88671875" style="1036" customWidth="1"/>
    <col min="11266" max="11266" width="13.21875" style="1036" customWidth="1"/>
    <col min="11267" max="11267" width="15.6640625" style="1036" customWidth="1"/>
    <col min="11268" max="11268" width="9.33203125" style="1036" bestFit="1" customWidth="1"/>
    <col min="11269" max="11269" width="13.44140625" style="1036" customWidth="1"/>
    <col min="11270" max="11270" width="9" style="1036"/>
    <col min="11271" max="11271" width="9.33203125" style="1036" bestFit="1" customWidth="1"/>
    <col min="11272" max="11273" width="9" style="1036"/>
    <col min="11274" max="11274" width="9.33203125" style="1036" bestFit="1" customWidth="1"/>
    <col min="11275" max="11275" width="4" style="1036" customWidth="1"/>
    <col min="11276" max="11276" width="5.109375" style="1036" customWidth="1"/>
    <col min="11277" max="11277" width="13.77734375" style="1036" customWidth="1"/>
    <col min="11278" max="11520" width="9" style="1036"/>
    <col min="11521" max="11521" width="4.88671875" style="1036" customWidth="1"/>
    <col min="11522" max="11522" width="13.21875" style="1036" customWidth="1"/>
    <col min="11523" max="11523" width="15.6640625" style="1036" customWidth="1"/>
    <col min="11524" max="11524" width="9.33203125" style="1036" bestFit="1" customWidth="1"/>
    <col min="11525" max="11525" width="13.44140625" style="1036" customWidth="1"/>
    <col min="11526" max="11526" width="9" style="1036"/>
    <col min="11527" max="11527" width="9.33203125" style="1036" bestFit="1" customWidth="1"/>
    <col min="11528" max="11529" width="9" style="1036"/>
    <col min="11530" max="11530" width="9.33203125" style="1036" bestFit="1" customWidth="1"/>
    <col min="11531" max="11531" width="4" style="1036" customWidth="1"/>
    <col min="11532" max="11532" width="5.109375" style="1036" customWidth="1"/>
    <col min="11533" max="11533" width="13.77734375" style="1036" customWidth="1"/>
    <col min="11534" max="11776" width="9" style="1036"/>
    <col min="11777" max="11777" width="4.88671875" style="1036" customWidth="1"/>
    <col min="11778" max="11778" width="13.21875" style="1036" customWidth="1"/>
    <col min="11779" max="11779" width="15.6640625" style="1036" customWidth="1"/>
    <col min="11780" max="11780" width="9.33203125" style="1036" bestFit="1" customWidth="1"/>
    <col min="11781" max="11781" width="13.44140625" style="1036" customWidth="1"/>
    <col min="11782" max="11782" width="9" style="1036"/>
    <col min="11783" max="11783" width="9.33203125" style="1036" bestFit="1" customWidth="1"/>
    <col min="11784" max="11785" width="9" style="1036"/>
    <col min="11786" max="11786" width="9.33203125" style="1036" bestFit="1" customWidth="1"/>
    <col min="11787" max="11787" width="4" style="1036" customWidth="1"/>
    <col min="11788" max="11788" width="5.109375" style="1036" customWidth="1"/>
    <col min="11789" max="11789" width="13.77734375" style="1036" customWidth="1"/>
    <col min="11790" max="12032" width="9" style="1036"/>
    <col min="12033" max="12033" width="4.88671875" style="1036" customWidth="1"/>
    <col min="12034" max="12034" width="13.21875" style="1036" customWidth="1"/>
    <col min="12035" max="12035" width="15.6640625" style="1036" customWidth="1"/>
    <col min="12036" max="12036" width="9.33203125" style="1036" bestFit="1" customWidth="1"/>
    <col min="12037" max="12037" width="13.44140625" style="1036" customWidth="1"/>
    <col min="12038" max="12038" width="9" style="1036"/>
    <col min="12039" max="12039" width="9.33203125" style="1036" bestFit="1" customWidth="1"/>
    <col min="12040" max="12041" width="9" style="1036"/>
    <col min="12042" max="12042" width="9.33203125" style="1036" bestFit="1" customWidth="1"/>
    <col min="12043" max="12043" width="4" style="1036" customWidth="1"/>
    <col min="12044" max="12044" width="5.109375" style="1036" customWidth="1"/>
    <col min="12045" max="12045" width="13.77734375" style="1036" customWidth="1"/>
    <col min="12046" max="12288" width="9" style="1036"/>
    <col min="12289" max="12289" width="4.88671875" style="1036" customWidth="1"/>
    <col min="12290" max="12290" width="13.21875" style="1036" customWidth="1"/>
    <col min="12291" max="12291" width="15.6640625" style="1036" customWidth="1"/>
    <col min="12292" max="12292" width="9.33203125" style="1036" bestFit="1" customWidth="1"/>
    <col min="12293" max="12293" width="13.44140625" style="1036" customWidth="1"/>
    <col min="12294" max="12294" width="9" style="1036"/>
    <col min="12295" max="12295" width="9.33203125" style="1036" bestFit="1" customWidth="1"/>
    <col min="12296" max="12297" width="9" style="1036"/>
    <col min="12298" max="12298" width="9.33203125" style="1036" bestFit="1" customWidth="1"/>
    <col min="12299" max="12299" width="4" style="1036" customWidth="1"/>
    <col min="12300" max="12300" width="5.109375" style="1036" customWidth="1"/>
    <col min="12301" max="12301" width="13.77734375" style="1036" customWidth="1"/>
    <col min="12302" max="12544" width="9" style="1036"/>
    <col min="12545" max="12545" width="4.88671875" style="1036" customWidth="1"/>
    <col min="12546" max="12546" width="13.21875" style="1036" customWidth="1"/>
    <col min="12547" max="12547" width="15.6640625" style="1036" customWidth="1"/>
    <col min="12548" max="12548" width="9.33203125" style="1036" bestFit="1" customWidth="1"/>
    <col min="12549" max="12549" width="13.44140625" style="1036" customWidth="1"/>
    <col min="12550" max="12550" width="9" style="1036"/>
    <col min="12551" max="12551" width="9.33203125" style="1036" bestFit="1" customWidth="1"/>
    <col min="12552" max="12553" width="9" style="1036"/>
    <col min="12554" max="12554" width="9.33203125" style="1036" bestFit="1" customWidth="1"/>
    <col min="12555" max="12555" width="4" style="1036" customWidth="1"/>
    <col min="12556" max="12556" width="5.109375" style="1036" customWidth="1"/>
    <col min="12557" max="12557" width="13.77734375" style="1036" customWidth="1"/>
    <col min="12558" max="12800" width="9" style="1036"/>
    <col min="12801" max="12801" width="4.88671875" style="1036" customWidth="1"/>
    <col min="12802" max="12802" width="13.21875" style="1036" customWidth="1"/>
    <col min="12803" max="12803" width="15.6640625" style="1036" customWidth="1"/>
    <col min="12804" max="12804" width="9.33203125" style="1036" bestFit="1" customWidth="1"/>
    <col min="12805" max="12805" width="13.44140625" style="1036" customWidth="1"/>
    <col min="12806" max="12806" width="9" style="1036"/>
    <col min="12807" max="12807" width="9.33203125" style="1036" bestFit="1" customWidth="1"/>
    <col min="12808" max="12809" width="9" style="1036"/>
    <col min="12810" max="12810" width="9.33203125" style="1036" bestFit="1" customWidth="1"/>
    <col min="12811" max="12811" width="4" style="1036" customWidth="1"/>
    <col min="12812" max="12812" width="5.109375" style="1036" customWidth="1"/>
    <col min="12813" max="12813" width="13.77734375" style="1036" customWidth="1"/>
    <col min="12814" max="13056" width="9" style="1036"/>
    <col min="13057" max="13057" width="4.88671875" style="1036" customWidth="1"/>
    <col min="13058" max="13058" width="13.21875" style="1036" customWidth="1"/>
    <col min="13059" max="13059" width="15.6640625" style="1036" customWidth="1"/>
    <col min="13060" max="13060" width="9.33203125" style="1036" bestFit="1" customWidth="1"/>
    <col min="13061" max="13061" width="13.44140625" style="1036" customWidth="1"/>
    <col min="13062" max="13062" width="9" style="1036"/>
    <col min="13063" max="13063" width="9.33203125" style="1036" bestFit="1" customWidth="1"/>
    <col min="13064" max="13065" width="9" style="1036"/>
    <col min="13066" max="13066" width="9.33203125" style="1036" bestFit="1" customWidth="1"/>
    <col min="13067" max="13067" width="4" style="1036" customWidth="1"/>
    <col min="13068" max="13068" width="5.109375" style="1036" customWidth="1"/>
    <col min="13069" max="13069" width="13.77734375" style="1036" customWidth="1"/>
    <col min="13070" max="13312" width="9" style="1036"/>
    <col min="13313" max="13313" width="4.88671875" style="1036" customWidth="1"/>
    <col min="13314" max="13314" width="13.21875" style="1036" customWidth="1"/>
    <col min="13315" max="13315" width="15.6640625" style="1036" customWidth="1"/>
    <col min="13316" max="13316" width="9.33203125" style="1036" bestFit="1" customWidth="1"/>
    <col min="13317" max="13317" width="13.44140625" style="1036" customWidth="1"/>
    <col min="13318" max="13318" width="9" style="1036"/>
    <col min="13319" max="13319" width="9.33203125" style="1036" bestFit="1" customWidth="1"/>
    <col min="13320" max="13321" width="9" style="1036"/>
    <col min="13322" max="13322" width="9.33203125" style="1036" bestFit="1" customWidth="1"/>
    <col min="13323" max="13323" width="4" style="1036" customWidth="1"/>
    <col min="13324" max="13324" width="5.109375" style="1036" customWidth="1"/>
    <col min="13325" max="13325" width="13.77734375" style="1036" customWidth="1"/>
    <col min="13326" max="13568" width="9" style="1036"/>
    <col min="13569" max="13569" width="4.88671875" style="1036" customWidth="1"/>
    <col min="13570" max="13570" width="13.21875" style="1036" customWidth="1"/>
    <col min="13571" max="13571" width="15.6640625" style="1036" customWidth="1"/>
    <col min="13572" max="13572" width="9.33203125" style="1036" bestFit="1" customWidth="1"/>
    <col min="13573" max="13573" width="13.44140625" style="1036" customWidth="1"/>
    <col min="13574" max="13574" width="9" style="1036"/>
    <col min="13575" max="13575" width="9.33203125" style="1036" bestFit="1" customWidth="1"/>
    <col min="13576" max="13577" width="9" style="1036"/>
    <col min="13578" max="13578" width="9.33203125" style="1036" bestFit="1" customWidth="1"/>
    <col min="13579" max="13579" width="4" style="1036" customWidth="1"/>
    <col min="13580" max="13580" width="5.109375" style="1036" customWidth="1"/>
    <col min="13581" max="13581" width="13.77734375" style="1036" customWidth="1"/>
    <col min="13582" max="13824" width="9" style="1036"/>
    <col min="13825" max="13825" width="4.88671875" style="1036" customWidth="1"/>
    <col min="13826" max="13826" width="13.21875" style="1036" customWidth="1"/>
    <col min="13827" max="13827" width="15.6640625" style="1036" customWidth="1"/>
    <col min="13828" max="13828" width="9.33203125" style="1036" bestFit="1" customWidth="1"/>
    <col min="13829" max="13829" width="13.44140625" style="1036" customWidth="1"/>
    <col min="13830" max="13830" width="9" style="1036"/>
    <col min="13831" max="13831" width="9.33203125" style="1036" bestFit="1" customWidth="1"/>
    <col min="13832" max="13833" width="9" style="1036"/>
    <col min="13834" max="13834" width="9.33203125" style="1036" bestFit="1" customWidth="1"/>
    <col min="13835" max="13835" width="4" style="1036" customWidth="1"/>
    <col min="13836" max="13836" width="5.109375" style="1036" customWidth="1"/>
    <col min="13837" max="13837" width="13.77734375" style="1036" customWidth="1"/>
    <col min="13838" max="14080" width="9" style="1036"/>
    <col min="14081" max="14081" width="4.88671875" style="1036" customWidth="1"/>
    <col min="14082" max="14082" width="13.21875" style="1036" customWidth="1"/>
    <col min="14083" max="14083" width="15.6640625" style="1036" customWidth="1"/>
    <col min="14084" max="14084" width="9.33203125" style="1036" bestFit="1" customWidth="1"/>
    <col min="14085" max="14085" width="13.44140625" style="1036" customWidth="1"/>
    <col min="14086" max="14086" width="9" style="1036"/>
    <col min="14087" max="14087" width="9.33203125" style="1036" bestFit="1" customWidth="1"/>
    <col min="14088" max="14089" width="9" style="1036"/>
    <col min="14090" max="14090" width="9.33203125" style="1036" bestFit="1" customWidth="1"/>
    <col min="14091" max="14091" width="4" style="1036" customWidth="1"/>
    <col min="14092" max="14092" width="5.109375" style="1036" customWidth="1"/>
    <col min="14093" max="14093" width="13.77734375" style="1036" customWidth="1"/>
    <col min="14094" max="14336" width="9" style="1036"/>
    <col min="14337" max="14337" width="4.88671875" style="1036" customWidth="1"/>
    <col min="14338" max="14338" width="13.21875" style="1036" customWidth="1"/>
    <col min="14339" max="14339" width="15.6640625" style="1036" customWidth="1"/>
    <col min="14340" max="14340" width="9.33203125" style="1036" bestFit="1" customWidth="1"/>
    <col min="14341" max="14341" width="13.44140625" style="1036" customWidth="1"/>
    <col min="14342" max="14342" width="9" style="1036"/>
    <col min="14343" max="14343" width="9.33203125" style="1036" bestFit="1" customWidth="1"/>
    <col min="14344" max="14345" width="9" style="1036"/>
    <col min="14346" max="14346" width="9.33203125" style="1036" bestFit="1" customWidth="1"/>
    <col min="14347" max="14347" width="4" style="1036" customWidth="1"/>
    <col min="14348" max="14348" width="5.109375" style="1036" customWidth="1"/>
    <col min="14349" max="14349" width="13.77734375" style="1036" customWidth="1"/>
    <col min="14350" max="14592" width="9" style="1036"/>
    <col min="14593" max="14593" width="4.88671875" style="1036" customWidth="1"/>
    <col min="14594" max="14594" width="13.21875" style="1036" customWidth="1"/>
    <col min="14595" max="14595" width="15.6640625" style="1036" customWidth="1"/>
    <col min="14596" max="14596" width="9.33203125" style="1036" bestFit="1" customWidth="1"/>
    <col min="14597" max="14597" width="13.44140625" style="1036" customWidth="1"/>
    <col min="14598" max="14598" width="9" style="1036"/>
    <col min="14599" max="14599" width="9.33203125" style="1036" bestFit="1" customWidth="1"/>
    <col min="14600" max="14601" width="9" style="1036"/>
    <col min="14602" max="14602" width="9.33203125" style="1036" bestFit="1" customWidth="1"/>
    <col min="14603" max="14603" width="4" style="1036" customWidth="1"/>
    <col min="14604" max="14604" width="5.109375" style="1036" customWidth="1"/>
    <col min="14605" max="14605" width="13.77734375" style="1036" customWidth="1"/>
    <col min="14606" max="14848" width="9" style="1036"/>
    <col min="14849" max="14849" width="4.88671875" style="1036" customWidth="1"/>
    <col min="14850" max="14850" width="13.21875" style="1036" customWidth="1"/>
    <col min="14851" max="14851" width="15.6640625" style="1036" customWidth="1"/>
    <col min="14852" max="14852" width="9.33203125" style="1036" bestFit="1" customWidth="1"/>
    <col min="14853" max="14853" width="13.44140625" style="1036" customWidth="1"/>
    <col min="14854" max="14854" width="9" style="1036"/>
    <col min="14855" max="14855" width="9.33203125" style="1036" bestFit="1" customWidth="1"/>
    <col min="14856" max="14857" width="9" style="1036"/>
    <col min="14858" max="14858" width="9.33203125" style="1036" bestFit="1" customWidth="1"/>
    <col min="14859" max="14859" width="4" style="1036" customWidth="1"/>
    <col min="14860" max="14860" width="5.109375" style="1036" customWidth="1"/>
    <col min="14861" max="14861" width="13.77734375" style="1036" customWidth="1"/>
    <col min="14862" max="15104" width="9" style="1036"/>
    <col min="15105" max="15105" width="4.88671875" style="1036" customWidth="1"/>
    <col min="15106" max="15106" width="13.21875" style="1036" customWidth="1"/>
    <col min="15107" max="15107" width="15.6640625" style="1036" customWidth="1"/>
    <col min="15108" max="15108" width="9.33203125" style="1036" bestFit="1" customWidth="1"/>
    <col min="15109" max="15109" width="13.44140625" style="1036" customWidth="1"/>
    <col min="15110" max="15110" width="9" style="1036"/>
    <col min="15111" max="15111" width="9.33203125" style="1036" bestFit="1" customWidth="1"/>
    <col min="15112" max="15113" width="9" style="1036"/>
    <col min="15114" max="15114" width="9.33203125" style="1036" bestFit="1" customWidth="1"/>
    <col min="15115" max="15115" width="4" style="1036" customWidth="1"/>
    <col min="15116" max="15116" width="5.109375" style="1036" customWidth="1"/>
    <col min="15117" max="15117" width="13.77734375" style="1036" customWidth="1"/>
    <col min="15118" max="15360" width="9" style="1036"/>
    <col min="15361" max="15361" width="4.88671875" style="1036" customWidth="1"/>
    <col min="15362" max="15362" width="13.21875" style="1036" customWidth="1"/>
    <col min="15363" max="15363" width="15.6640625" style="1036" customWidth="1"/>
    <col min="15364" max="15364" width="9.33203125" style="1036" bestFit="1" customWidth="1"/>
    <col min="15365" max="15365" width="13.44140625" style="1036" customWidth="1"/>
    <col min="15366" max="15366" width="9" style="1036"/>
    <col min="15367" max="15367" width="9.33203125" style="1036" bestFit="1" customWidth="1"/>
    <col min="15368" max="15369" width="9" style="1036"/>
    <col min="15370" max="15370" width="9.33203125" style="1036" bestFit="1" customWidth="1"/>
    <col min="15371" max="15371" width="4" style="1036" customWidth="1"/>
    <col min="15372" max="15372" width="5.109375" style="1036" customWidth="1"/>
    <col min="15373" max="15373" width="13.77734375" style="1036" customWidth="1"/>
    <col min="15374" max="15616" width="9" style="1036"/>
    <col min="15617" max="15617" width="4.88671875" style="1036" customWidth="1"/>
    <col min="15618" max="15618" width="13.21875" style="1036" customWidth="1"/>
    <col min="15619" max="15619" width="15.6640625" style="1036" customWidth="1"/>
    <col min="15620" max="15620" width="9.33203125" style="1036" bestFit="1" customWidth="1"/>
    <col min="15621" max="15621" width="13.44140625" style="1036" customWidth="1"/>
    <col min="15622" max="15622" width="9" style="1036"/>
    <col min="15623" max="15623" width="9.33203125" style="1036" bestFit="1" customWidth="1"/>
    <col min="15624" max="15625" width="9" style="1036"/>
    <col min="15626" max="15626" width="9.33203125" style="1036" bestFit="1" customWidth="1"/>
    <col min="15627" max="15627" width="4" style="1036" customWidth="1"/>
    <col min="15628" max="15628" width="5.109375" style="1036" customWidth="1"/>
    <col min="15629" max="15629" width="13.77734375" style="1036" customWidth="1"/>
    <col min="15630" max="15872" width="9" style="1036"/>
    <col min="15873" max="15873" width="4.88671875" style="1036" customWidth="1"/>
    <col min="15874" max="15874" width="13.21875" style="1036" customWidth="1"/>
    <col min="15875" max="15875" width="15.6640625" style="1036" customWidth="1"/>
    <col min="15876" max="15876" width="9.33203125" style="1036" bestFit="1" customWidth="1"/>
    <col min="15877" max="15877" width="13.44140625" style="1036" customWidth="1"/>
    <col min="15878" max="15878" width="9" style="1036"/>
    <col min="15879" max="15879" width="9.33203125" style="1036" bestFit="1" customWidth="1"/>
    <col min="15880" max="15881" width="9" style="1036"/>
    <col min="15882" max="15882" width="9.33203125" style="1036" bestFit="1" customWidth="1"/>
    <col min="15883" max="15883" width="4" style="1036" customWidth="1"/>
    <col min="15884" max="15884" width="5.109375" style="1036" customWidth="1"/>
    <col min="15885" max="15885" width="13.77734375" style="1036" customWidth="1"/>
    <col min="15886" max="16128" width="9" style="1036"/>
    <col min="16129" max="16129" width="4.88671875" style="1036" customWidth="1"/>
    <col min="16130" max="16130" width="13.21875" style="1036" customWidth="1"/>
    <col min="16131" max="16131" width="15.6640625" style="1036" customWidth="1"/>
    <col min="16132" max="16132" width="9.33203125" style="1036" bestFit="1" customWidth="1"/>
    <col min="16133" max="16133" width="13.44140625" style="1036" customWidth="1"/>
    <col min="16134" max="16134" width="9" style="1036"/>
    <col min="16135" max="16135" width="9.33203125" style="1036" bestFit="1" customWidth="1"/>
    <col min="16136" max="16137" width="9" style="1036"/>
    <col min="16138" max="16138" width="9.33203125" style="1036" bestFit="1" customWidth="1"/>
    <col min="16139" max="16139" width="4" style="1036" customWidth="1"/>
    <col min="16140" max="16140" width="5.109375" style="1036" customWidth="1"/>
    <col min="16141" max="16141" width="13.77734375" style="1036" customWidth="1"/>
    <col min="16142" max="16384" width="9" style="1036"/>
  </cols>
  <sheetData>
    <row r="1" spans="1:257" s="1098" customFormat="1" ht="1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6"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399999999999999">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2">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31.2">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5.6">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5.6">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5.6">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5.6">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6.8">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5.6">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5.6">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5.6">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141" t="s">
        <v>1097</v>
      </c>
      <c r="E1" s="1135" t="s">
        <v>1101</v>
      </c>
      <c r="F1" s="1136" t="s">
        <v>1105</v>
      </c>
    </row>
    <row r="2" spans="1:13" ht="19.8">
      <c r="A2" s="1142" t="s">
        <v>1098</v>
      </c>
    </row>
    <row r="3" spans="1:13" ht="15.6">
      <c r="A3" s="1143" t="s">
        <v>1099</v>
      </c>
    </row>
    <row r="4" spans="1:13">
      <c r="A4" s="1133" t="s">
        <v>1100</v>
      </c>
      <c r="B4" s="1138" t="s">
        <v>1102</v>
      </c>
      <c r="C4" s="1139"/>
      <c r="D4" s="1140"/>
      <c r="E4" s="1138" t="s">
        <v>27</v>
      </c>
      <c r="F4" s="1139"/>
      <c r="G4" s="1140"/>
      <c r="H4" s="1138" t="s">
        <v>1103</v>
      </c>
      <c r="I4" s="1139"/>
      <c r="J4" s="1140"/>
      <c r="K4" s="1138" t="s">
        <v>6</v>
      </c>
      <c r="L4" s="1139"/>
      <c r="M4" s="1140"/>
    </row>
    <row r="5" spans="1:13">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83" customWidth="1"/>
    <col min="2" max="9" width="12.109375" style="1283" customWidth="1"/>
    <col min="10" max="16384" width="9" style="1283"/>
  </cols>
  <sheetData>
    <row r="1" spans="1:9" ht="18" thickBot="1">
      <c r="A1" s="3628" t="str">
        <f>IF(项目基本情况!B9="房地产市场价值","估价结果一览表","结果表-2")</f>
        <v>结果表-2</v>
      </c>
      <c r="B1" s="3628"/>
      <c r="C1" s="3628"/>
      <c r="D1" s="3628"/>
      <c r="E1" s="3628"/>
      <c r="F1" s="3628"/>
      <c r="G1" s="3628"/>
      <c r="H1" s="3628"/>
      <c r="I1" s="3628"/>
    </row>
    <row r="2" spans="1:9" ht="30" customHeight="1" thickTop="1">
      <c r="A2" s="3629" t="s">
        <v>1365</v>
      </c>
      <c r="B2" s="3629" t="s">
        <v>1366</v>
      </c>
      <c r="C2" s="3629" t="s">
        <v>1367</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spans="1:9" ht="15.6">
      <c r="A3" s="3630"/>
      <c r="B3" s="3630"/>
      <c r="C3" s="3630"/>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122002.77</v>
      </c>
      <c r="C4" s="714">
        <f>项目基本情况!C18</f>
        <v>52221.18</v>
      </c>
      <c r="D4" s="714">
        <f ca="1">结果表!D118</f>
        <v>456545</v>
      </c>
      <c r="E4" s="714">
        <f ca="1">结果表!E118</f>
        <v>37421</v>
      </c>
      <c r="F4" s="714">
        <f ca="1">结果表!F118</f>
        <v>30120</v>
      </c>
      <c r="G4" s="714">
        <f ca="1">结果表!G118</f>
        <v>2469</v>
      </c>
      <c r="H4" s="714">
        <f ca="1">结果表!H118</f>
        <v>486665</v>
      </c>
      <c r="I4" s="714">
        <f ca="1">结果表!I118</f>
        <v>39890</v>
      </c>
    </row>
    <row r="5" spans="1:9" ht="30" customHeight="1">
      <c r="A5" s="3630" t="s">
        <v>1364</v>
      </c>
      <c r="B5" s="3630"/>
      <c r="C5" s="3630"/>
      <c r="D5" s="3631" t="str">
        <f ca="1">结果表!D119</f>
        <v>肆拾伍亿陆仟伍佰肆拾伍万元整</v>
      </c>
      <c r="E5" s="3631"/>
      <c r="F5" s="3631" t="str">
        <f ca="1">结果表!F119</f>
        <v>叁亿零壹佰贰拾万元整</v>
      </c>
      <c r="G5" s="3631"/>
      <c r="H5" s="3631" t="str">
        <f ca="1">结果表!H119</f>
        <v>肆拾捌亿陆仟陆佰陆拾伍万元整</v>
      </c>
      <c r="I5" s="3631"/>
    </row>
    <row r="6" spans="1:9" ht="15.6">
      <c r="A6" s="3632" t="str">
        <f>结果表!A120</f>
        <v>估价师知悉的法定优先受偿款</v>
      </c>
      <c r="B6" s="3632"/>
      <c r="C6" s="3632"/>
      <c r="D6" s="3632">
        <f>结果表!D120</f>
        <v>0</v>
      </c>
      <c r="E6" s="3632"/>
      <c r="F6" s="3632"/>
      <c r="G6" s="3632"/>
      <c r="H6" s="3632"/>
      <c r="I6" s="3632"/>
    </row>
    <row r="7" spans="1:9" ht="15">
      <c r="A7" s="3630" t="s">
        <v>1364</v>
      </c>
      <c r="B7" s="3630"/>
      <c r="C7" s="3630"/>
      <c r="D7" s="3633" t="str">
        <f>结果表!D121</f>
        <v>零元整</v>
      </c>
      <c r="E7" s="3634"/>
      <c r="F7" s="3634"/>
      <c r="G7" s="3634"/>
      <c r="H7" s="3634"/>
      <c r="I7" s="3635"/>
    </row>
    <row r="8" spans="1:9" ht="15.6">
      <c r="A8" s="3632" t="str">
        <f>结果表!A122</f>
        <v>房地产抵押价值</v>
      </c>
      <c r="B8" s="3632"/>
      <c r="C8" s="3632"/>
      <c r="D8" s="3632">
        <f ca="1">结果表!D122</f>
        <v>486665</v>
      </c>
      <c r="E8" s="3632"/>
      <c r="F8" s="3632"/>
      <c r="G8" s="3632"/>
      <c r="H8" s="3632"/>
      <c r="I8" s="3632"/>
    </row>
    <row r="9" spans="1:9" ht="15">
      <c r="A9" s="3630" t="s">
        <v>1364</v>
      </c>
      <c r="B9" s="3630"/>
      <c r="C9" s="3630"/>
      <c r="D9" s="3631" t="str">
        <f ca="1">结果表!D123</f>
        <v>肆拾捌亿陆仟陆佰陆拾伍万元整</v>
      </c>
      <c r="E9" s="3631"/>
      <c r="F9" s="3631"/>
      <c r="G9" s="3631"/>
      <c r="H9" s="3631"/>
      <c r="I9" s="3631"/>
    </row>
    <row r="10" spans="1:9" ht="15.6">
      <c r="A10" s="3632" t="str">
        <f>结果表!A124</f>
        <v/>
      </c>
      <c r="B10" s="3632"/>
      <c r="C10" s="3632"/>
      <c r="D10" s="3632" t="str">
        <f>结果表!D124</f>
        <v>——</v>
      </c>
      <c r="E10" s="3632"/>
      <c r="F10" s="3632"/>
      <c r="G10" s="3632"/>
      <c r="H10" s="3632"/>
      <c r="I10" s="3632"/>
    </row>
    <row r="11" spans="1:9" ht="15">
      <c r="A11" s="3630" t="s">
        <v>1364</v>
      </c>
      <c r="B11" s="3630"/>
      <c r="C11" s="3630"/>
      <c r="D11" s="3631" t="e">
        <f>结果表!D125</f>
        <v>#VALUE!</v>
      </c>
      <c r="E11" s="3631"/>
      <c r="F11" s="3631"/>
      <c r="G11" s="3631"/>
      <c r="H11" s="3631"/>
      <c r="I11" s="3631"/>
    </row>
    <row r="12" spans="1:9" ht="15.6">
      <c r="A12" s="3632" t="str">
        <f>结果表!A126</f>
        <v/>
      </c>
      <c r="B12" s="3632"/>
      <c r="C12" s="3632"/>
      <c r="D12" s="3632" t="str">
        <f>结果表!D126</f>
        <v>——</v>
      </c>
      <c r="E12" s="3632"/>
      <c r="F12" s="3632"/>
      <c r="G12" s="3632"/>
      <c r="H12" s="3632"/>
      <c r="I12" s="3632"/>
    </row>
    <row r="13" spans="1:9" ht="15.6" thickBot="1">
      <c r="A13" s="3636" t="s">
        <v>1364</v>
      </c>
      <c r="B13" s="3636"/>
      <c r="C13" s="3636"/>
      <c r="D13" s="3637" t="e">
        <f>结果表!D127</f>
        <v>#VALUE!</v>
      </c>
      <c r="E13" s="3637"/>
      <c r="F13" s="3637"/>
      <c r="G13" s="3637"/>
      <c r="H13" s="3637"/>
      <c r="I13" s="3637"/>
    </row>
    <row r="14" spans="1:9" ht="14.4" thickTop="1">
      <c r="A14" s="3638" t="s">
        <v>1369</v>
      </c>
      <c r="B14" s="3638"/>
      <c r="C14" s="3638"/>
      <c r="D14" s="3638"/>
      <c r="E14" s="3638"/>
      <c r="F14" s="3638"/>
      <c r="G14" s="3638"/>
      <c r="H14" s="3638"/>
      <c r="I14" s="3638"/>
    </row>
    <row r="16" spans="1:9" ht="17.399999999999999">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83" customWidth="1"/>
    <col min="2" max="3" width="22.33203125" style="1283" customWidth="1"/>
    <col min="4" max="4" width="23" style="1283" customWidth="1"/>
    <col min="5" max="16384" width="9" style="1283"/>
  </cols>
  <sheetData>
    <row r="1" spans="1:4" ht="17.399999999999999">
      <c r="A1" s="3639" t="s">
        <v>1386</v>
      </c>
      <c r="B1" s="3639"/>
      <c r="C1" s="3639"/>
      <c r="D1" s="3639"/>
    </row>
    <row r="2" spans="1:4" ht="17.399999999999999">
      <c r="A2" s="3640" t="s">
        <v>1370</v>
      </c>
      <c r="B2" s="3640"/>
      <c r="C2" s="3640"/>
      <c r="D2" s="3640"/>
    </row>
    <row r="3" spans="1:4" ht="17.399999999999999">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7.399999999999999">
      <c r="A6" s="3640" t="s">
        <v>1376</v>
      </c>
      <c r="B6" s="3640"/>
      <c r="C6" s="3640"/>
      <c r="D6" s="3640"/>
    </row>
    <row r="7" spans="1:4" ht="17.399999999999999">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7.399999999999999">
      <c r="A10" s="1322" t="s">
        <v>1378</v>
      </c>
      <c r="B10" s="495"/>
      <c r="C10" s="495"/>
      <c r="D10" s="495"/>
    </row>
    <row r="11" spans="1:4" ht="30" customHeight="1">
      <c r="A11" s="3641" t="s">
        <v>1379</v>
      </c>
      <c r="B11" s="3642"/>
      <c r="C11" s="3642"/>
      <c r="D11" s="3642"/>
    </row>
    <row r="12" spans="1:4" ht="15.6">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spans="1:4" ht="30" customHeight="1">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spans="1:4" ht="15.75" customHeight="1">
      <c r="A14" s="3642" t="str">
        <f>IF(项目基本情况!B8="抵押","4.本次评估估价师所知悉的法定优先受偿款情况说明如下：","——")</f>
        <v>4.本次评估估价师所知悉的法定优先受偿款情况说明如下：</v>
      </c>
      <c r="B14" s="3643"/>
      <c r="C14" s="3643"/>
      <c r="D14" s="3643"/>
    </row>
    <row r="15" spans="1:4" ht="42" customHeight="1">
      <c r="A15" s="36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spans="1:4" ht="30" customHeight="1">
      <c r="A16" s="3645" t="s">
        <v>1380</v>
      </c>
      <c r="B16" s="3645"/>
      <c r="C16" s="3645"/>
      <c r="D16" s="3645"/>
    </row>
    <row r="17" spans="1:4" ht="144" customHeight="1">
      <c r="A17" s="3645" t="s">
        <v>1381</v>
      </c>
      <c r="B17" s="3645"/>
      <c r="C17" s="3645"/>
      <c r="D17" s="3645"/>
    </row>
    <row r="18" spans="1:4" ht="15.75" customHeight="1">
      <c r="A18" s="3642" t="str">
        <f>IF(项目基本情况!B8="抵押",结果表!K120,"——")</f>
        <v>故，本次评估不存在估价师知悉的法定优先受偿款</v>
      </c>
      <c r="B18" s="3642"/>
      <c r="C18" s="3642"/>
      <c r="D18" s="3642"/>
    </row>
    <row r="19" spans="1:4" ht="46.5" customHeight="1">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spans="1:4" ht="57.75" customHeight="1">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spans="1:4" ht="57.75" customHeight="1">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spans="1:4" ht="18.75" customHeight="1">
      <c r="A22" s="3647" t="s">
        <v>1382</v>
      </c>
      <c r="B22" s="3647"/>
      <c r="C22" s="3647"/>
      <c r="D22" s="3647"/>
    </row>
    <row r="23" spans="1:4">
      <c r="A23" s="1323"/>
      <c r="B23" s="1295"/>
      <c r="C23" s="1295"/>
      <c r="D23" s="1295"/>
    </row>
    <row r="24" spans="1:4">
      <c r="A24" s="1323"/>
      <c r="B24" s="1295"/>
      <c r="C24" s="1295"/>
      <c r="D24" s="1295"/>
    </row>
    <row r="25" spans="1:4" ht="17.399999999999999">
      <c r="A25" s="1324" t="s">
        <v>1383</v>
      </c>
    </row>
    <row r="26" spans="1:4" ht="17.399999999999999">
      <c r="A26" s="1293"/>
    </row>
    <row r="27" spans="1:4" ht="17.399999999999999">
      <c r="A27" s="1293" t="s">
        <v>1384</v>
      </c>
    </row>
    <row r="30" spans="1:4" ht="17.399999999999999">
      <c r="D30" s="1324" t="s">
        <v>1385</v>
      </c>
    </row>
    <row r="31" spans="1:4" ht="13.5" customHeight="1">
      <c r="C31" s="3644">
        <v>42551</v>
      </c>
      <c r="D31" s="36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281" customWidth="1"/>
    <col min="3" max="10" width="12.44140625" style="1281" customWidth="1"/>
    <col min="11" max="16384" width="9" style="1281"/>
  </cols>
  <sheetData>
    <row r="1" spans="1:10" ht="17.399999999999999">
      <c r="A1" s="1314" t="s">
        <v>657</v>
      </c>
      <c r="B1" s="1325"/>
      <c r="C1" s="1325"/>
      <c r="D1" s="1325"/>
      <c r="E1" s="1325"/>
      <c r="F1" s="1325"/>
      <c r="G1" s="1325"/>
      <c r="H1" s="1325"/>
      <c r="I1" s="1325"/>
      <c r="J1" s="1325"/>
    </row>
    <row r="2" spans="1:10" ht="17.399999999999999">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331" customWidth="1"/>
    <col min="2" max="16384" width="14.44140625" style="1313"/>
  </cols>
  <sheetData>
    <row r="1" spans="1:7" s="1328" customFormat="1" ht="17.399999999999999">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4.4">
      <c r="A15" s="3653" t="s">
        <v>1393</v>
      </c>
      <c r="B15" s="3648" t="s">
        <v>136</v>
      </c>
      <c r="C15" s="3649"/>
    </row>
    <row r="16" spans="1:7" ht="14.4">
      <c r="A16" s="3654"/>
      <c r="B16" s="3648" t="s">
        <v>69</v>
      </c>
      <c r="C16" s="3649"/>
    </row>
    <row r="17" spans="1:3" ht="14.4">
      <c r="A17" s="3654"/>
      <c r="B17" s="3651" t="s">
        <v>1394</v>
      </c>
      <c r="C17" s="1338" t="s">
        <v>1393</v>
      </c>
    </row>
    <row r="18" spans="1:3" ht="14.4">
      <c r="A18" s="3654"/>
      <c r="B18" s="3651"/>
      <c r="C18" s="1338" t="s">
        <v>1395</v>
      </c>
    </row>
    <row r="19" spans="1:3" ht="14.4">
      <c r="A19" s="3654"/>
      <c r="B19" s="3651"/>
      <c r="C19" s="1338" t="s">
        <v>1396</v>
      </c>
    </row>
    <row r="20" spans="1:3" ht="14.4">
      <c r="A20" s="3655"/>
      <c r="B20" s="3650" t="s">
        <v>1397</v>
      </c>
      <c r="C20" s="3649"/>
    </row>
    <row r="21" spans="1:3" ht="14.4">
      <c r="A21" s="1339" t="s">
        <v>1398</v>
      </c>
      <c r="B21" s="1340"/>
      <c r="C21" s="1341"/>
    </row>
    <row r="22" spans="1:3" ht="14.4">
      <c r="A22" s="3652" t="s">
        <v>1399</v>
      </c>
      <c r="B22" s="3650" t="s">
        <v>1400</v>
      </c>
      <c r="C22" s="3649"/>
    </row>
    <row r="23" spans="1:3" ht="14.4">
      <c r="A23" s="3652"/>
      <c r="B23" s="3650" t="s">
        <v>1401</v>
      </c>
      <c r="C23" s="3649"/>
    </row>
    <row r="24" spans="1:3" ht="14.4">
      <c r="A24" s="3652"/>
      <c r="B24" s="3650" t="s">
        <v>1402</v>
      </c>
      <c r="C24" s="3649"/>
    </row>
    <row r="25" spans="1:3" ht="14.4">
      <c r="A25" s="3652"/>
      <c r="B25" s="3651" t="s">
        <v>1403</v>
      </c>
      <c r="C25" s="1338" t="s">
        <v>1404</v>
      </c>
    </row>
    <row r="26" spans="1:3" ht="14.4">
      <c r="A26" s="3652"/>
      <c r="B26" s="3651"/>
      <c r="C26" s="1338" t="s">
        <v>1405</v>
      </c>
    </row>
    <row r="27" spans="1:3" ht="14.4">
      <c r="A27" s="3652"/>
      <c r="B27" s="3651"/>
      <c r="C27" s="1338" t="s">
        <v>1406</v>
      </c>
    </row>
    <row r="28" spans="1:3" ht="14.4">
      <c r="A28" s="3652"/>
      <c r="B28" s="3651"/>
      <c r="C28" s="1338" t="s">
        <v>1407</v>
      </c>
    </row>
    <row r="29" spans="1:3" ht="14.4">
      <c r="A29" s="3652"/>
      <c r="B29" s="3651"/>
      <c r="C29" s="1338" t="s">
        <v>1408</v>
      </c>
    </row>
    <row r="30" spans="1:3" ht="14.4">
      <c r="A30" s="3652"/>
      <c r="B30" s="3651"/>
      <c r="C30" s="1338" t="s">
        <v>1409</v>
      </c>
    </row>
    <row r="31" spans="1:3" ht="14.4">
      <c r="A31" s="3652"/>
      <c r="B31" s="3651"/>
      <c r="C31" s="1338" t="s">
        <v>1410</v>
      </c>
    </row>
    <row r="32" spans="1:3" ht="14.4">
      <c r="A32" s="3652"/>
      <c r="B32" s="3651"/>
      <c r="C32" s="1338" t="s">
        <v>1411</v>
      </c>
    </row>
    <row r="33" spans="1:3" ht="14.4">
      <c r="A33" s="3652"/>
      <c r="B33" s="3651"/>
      <c r="C33" s="1338" t="s">
        <v>1412</v>
      </c>
    </row>
    <row r="34" spans="1:3">
      <c r="A34" s="1342" t="s">
        <v>76</v>
      </c>
    </row>
    <row r="37" spans="1:3">
      <c r="A37" s="1342" t="s">
        <v>1413</v>
      </c>
    </row>
    <row r="38" spans="1:3" ht="14.4">
      <c r="A38" s="1343" t="s">
        <v>77</v>
      </c>
    </row>
    <row r="39" spans="1:3" ht="14.4">
      <c r="A39" s="1343" t="s">
        <v>78</v>
      </c>
    </row>
    <row r="40" spans="1:3" ht="14.4">
      <c r="A40" s="1343" t="s">
        <v>79</v>
      </c>
    </row>
    <row r="41" spans="1:3" ht="14.4">
      <c r="A41" s="1344" t="s">
        <v>80</v>
      </c>
    </row>
    <row r="42" spans="1:3" ht="14.4">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847" customWidth="1"/>
    <col min="2" max="2" width="38.6640625" style="1847" customWidth="1"/>
    <col min="3" max="3" width="26" style="1847" customWidth="1"/>
    <col min="4" max="4" width="35" style="1847" hidden="1" customWidth="1"/>
    <col min="5" max="5" width="30.109375" style="1847" customWidth="1"/>
    <col min="6" max="6" width="35.44140625" style="1847" customWidth="1"/>
    <col min="7" max="7" width="31" style="1847" customWidth="1"/>
    <col min="8" max="8" width="37.44140625" style="1847" hidden="1" customWidth="1"/>
    <col min="9" max="16384" width="22.6640625" style="1847"/>
  </cols>
  <sheetData>
    <row r="1" spans="1:8" ht="24" customHeight="1">
      <c r="A1" s="1846"/>
      <c r="B1" s="1846"/>
      <c r="C1" s="1846"/>
      <c r="D1" s="1846"/>
      <c r="E1" s="1846"/>
      <c r="F1" s="1846"/>
      <c r="G1" s="1846"/>
      <c r="H1" s="1846"/>
    </row>
    <row r="2" spans="1:8" ht="24" customHeight="1">
      <c r="A2" s="1848" t="s">
        <v>2638</v>
      </c>
      <c r="B2" s="1849">
        <f ca="1">TODAY()</f>
        <v>44781</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6" t="s">
        <v>2659</v>
      </c>
      <c r="B17" s="3656"/>
      <c r="C17" s="3656"/>
      <c r="D17" s="3656"/>
      <c r="E17" s="3656"/>
      <c r="F17" s="3656"/>
      <c r="G17" s="3656"/>
      <c r="H17" s="3656"/>
    </row>
    <row r="18" spans="1:8" ht="24" customHeight="1">
      <c r="A18" s="3657" t="s">
        <v>2660</v>
      </c>
      <c r="B18" s="3657"/>
      <c r="C18" s="3657"/>
      <c r="D18" s="1853"/>
      <c r="E18" s="3658" t="s">
        <v>2661</v>
      </c>
      <c r="F18" s="3657"/>
      <c r="G18" s="3657"/>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2022-08-08T06:22:57Z</dcterms:modified>
</cp:coreProperties>
</file>