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F20" i="6" l="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F59" i="81"/>
  <c r="E59" i="81"/>
  <c r="D59" i="81"/>
  <c r="N56" i="81"/>
  <c r="M56" i="81"/>
  <c r="K56" i="81"/>
  <c r="J56" i="81"/>
  <c r="J57" i="81" s="1"/>
  <c r="J59" i="81" s="1"/>
  <c r="J61" i="81" s="1"/>
  <c r="F56" i="81"/>
  <c r="O55" i="81"/>
  <c r="N55" i="81"/>
  <c r="M55" i="81"/>
  <c r="K55" i="81"/>
  <c r="J55" i="81"/>
  <c r="I55" i="81"/>
  <c r="F55" i="81" s="1"/>
  <c r="O53" i="81" s="1"/>
  <c r="O54" i="81"/>
  <c r="N54" i="81"/>
  <c r="F54" i="81"/>
  <c r="N53" i="81"/>
  <c r="F53" i="81"/>
  <c r="F52" i="81"/>
  <c r="K49" i="81"/>
  <c r="F48" i="81"/>
  <c r="O52" i="81" s="1"/>
  <c r="E48" i="81"/>
  <c r="N52" i="81" s="1"/>
  <c r="D48" i="81"/>
  <c r="M52" i="81" s="1"/>
  <c r="M47" i="81"/>
  <c r="F33" i="81"/>
  <c r="D27" i="81"/>
  <c r="C25" i="81"/>
  <c r="C24" i="81"/>
  <c r="M18" i="81"/>
  <c r="B118" i="81" s="1"/>
  <c r="D17" i="81"/>
  <c r="C17" i="81"/>
  <c r="C18" i="81" s="1"/>
  <c r="D18" i="81" s="1"/>
  <c r="L4" i="81"/>
  <c r="K4" i="81"/>
  <c r="A2" i="81"/>
  <c r="H1" i="81"/>
  <c r="D35" i="81"/>
  <c r="D34" i="81"/>
  <c r="C92" i="81" l="1"/>
  <c r="C94" i="81"/>
  <c r="K120" i="81"/>
  <c r="D121" i="81"/>
  <c r="H112" i="81"/>
  <c r="H110" i="81"/>
  <c r="H111" i="81"/>
  <c r="D126" i="81" s="1"/>
  <c r="D127" i="81" s="1"/>
  <c r="I15" i="3"/>
  <c r="I16" i="3"/>
  <c r="I14" i="3"/>
  <c r="F11" i="77" l="1"/>
  <c r="B27" i="31"/>
  <c r="B24" i="31"/>
  <c r="B26" i="31"/>
  <c r="B25" i="31"/>
  <c r="F19" i="6"/>
  <c r="BB13" i="3"/>
  <c r="H13" i="3"/>
  <c r="N38" i="79"/>
  <c r="B22" i="1"/>
  <c r="E1" i="73"/>
  <c r="K1" i="73" s="1"/>
  <c r="F23" i="15"/>
  <c r="D112" i="34"/>
  <c r="E112" i="34" s="1"/>
  <c r="F112" i="34" s="1"/>
  <c r="D4" i="31"/>
  <c r="E4" i="31"/>
  <c r="F4" i="31"/>
  <c r="G4" i="31"/>
  <c r="H4" i="31"/>
  <c r="I4" i="31"/>
  <c r="J4" i="31"/>
  <c r="C4" i="31"/>
  <c r="D3" i="31"/>
  <c r="E3" i="31"/>
  <c r="F3" i="31"/>
  <c r="G3" i="31"/>
  <c r="H3" i="31"/>
  <c r="I3" i="31"/>
  <c r="J3" i="31"/>
  <c r="C3" i="31"/>
  <c r="B131" i="79"/>
  <c r="B129" i="79"/>
  <c r="B127" i="79"/>
  <c r="D126" i="79"/>
  <c r="E126" i="79" s="1"/>
  <c r="F126" i="79" s="1"/>
  <c r="G126" i="79" s="1"/>
  <c r="D124" i="79"/>
  <c r="E124" i="79" s="1"/>
  <c r="D120" i="79"/>
  <c r="E120" i="79"/>
  <c r="F120" i="79" s="1"/>
  <c r="G120" i="79"/>
  <c r="H120" i="79" s="1"/>
  <c r="I120" i="79" s="1"/>
  <c r="J120" i="79" s="1"/>
  <c r="K120" i="79" s="1"/>
  <c r="L120" i="79" s="1"/>
  <c r="M120" i="79" s="1"/>
  <c r="D118" i="79"/>
  <c r="E118" i="79" s="1"/>
  <c r="F118" i="79" s="1"/>
  <c r="G118" i="79" s="1"/>
  <c r="D116" i="79"/>
  <c r="E116" i="79" s="1"/>
  <c r="F116" i="79"/>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0" i="79"/>
  <c r="F110" i="79"/>
  <c r="E110" i="79"/>
  <c r="D110" i="79"/>
  <c r="C110" i="79"/>
  <c r="D109" i="79"/>
  <c r="E109" i="79" s="1"/>
  <c r="F109" i="79"/>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c r="F102" i="79" s="1"/>
  <c r="G102" i="79"/>
  <c r="H102" i="79" s="1"/>
  <c r="I102" i="79" s="1"/>
  <c r="J102" i="79" s="1"/>
  <c r="K102" i="79" s="1"/>
  <c r="L102" i="79" s="1"/>
  <c r="M102" i="79" s="1"/>
  <c r="B99" i="79"/>
  <c r="B97" i="79"/>
  <c r="B95" i="79"/>
  <c r="B93" i="79"/>
  <c r="D92" i="79"/>
  <c r="E92" i="79"/>
  <c r="F92" i="79" s="1"/>
  <c r="G92" i="79"/>
  <c r="H92" i="79" s="1"/>
  <c r="I92" i="79" s="1"/>
  <c r="J92" i="79" s="1"/>
  <c r="K92" i="79" s="1"/>
  <c r="L92" i="79" s="1"/>
  <c r="M92" i="79" s="1"/>
  <c r="B91" i="79"/>
  <c r="D90" i="79"/>
  <c r="E90" i="79" s="1"/>
  <c r="F90" i="79"/>
  <c r="G90" i="79" s="1"/>
  <c r="H90" i="79" s="1"/>
  <c r="I90" i="79" s="1"/>
  <c r="J90" i="79" s="1"/>
  <c r="K90" i="79" s="1"/>
  <c r="L90" i="79" s="1"/>
  <c r="M90" i="79" s="1"/>
  <c r="B89" i="79"/>
  <c r="J27" i="79" s="1"/>
  <c r="AC27" i="79" s="1"/>
  <c r="D88" i="79"/>
  <c r="E88" i="79"/>
  <c r="F88" i="79" s="1"/>
  <c r="G88" i="79" s="1"/>
  <c r="H88" i="79" s="1"/>
  <c r="I88" i="79" s="1"/>
  <c r="J88" i="79" s="1"/>
  <c r="K88" i="79" s="1"/>
  <c r="L88" i="79" s="1"/>
  <c r="M88" i="79" s="1"/>
  <c r="D86" i="79"/>
  <c r="E86" i="79"/>
  <c r="F86" i="79" s="1"/>
  <c r="G86" i="79" s="1"/>
  <c r="D84" i="79"/>
  <c r="E84" i="79"/>
  <c r="F84" i="79" s="1"/>
  <c r="G84" i="79"/>
  <c r="D82" i="79"/>
  <c r="E82" i="79"/>
  <c r="F82" i="79" s="1"/>
  <c r="G82" i="79" s="1"/>
  <c r="D80" i="79"/>
  <c r="E80" i="79"/>
  <c r="F80" i="79" s="1"/>
  <c r="G80" i="79"/>
  <c r="D78" i="79"/>
  <c r="E78" i="79"/>
  <c r="F78" i="79" s="1"/>
  <c r="G78" i="79" s="1"/>
  <c r="B75" i="79"/>
  <c r="B73" i="79"/>
  <c r="B71" i="79"/>
  <c r="D70" i="79"/>
  <c r="E70" i="79" s="1"/>
  <c r="F70" i="79"/>
  <c r="G70" i="79" s="1"/>
  <c r="H70" i="79" s="1"/>
  <c r="I70" i="79" s="1"/>
  <c r="J70" i="79" s="1"/>
  <c r="K70" i="79" s="1"/>
  <c r="L70" i="79" s="1"/>
  <c r="M70" i="79" s="1"/>
  <c r="M68" i="79"/>
  <c r="L68" i="79"/>
  <c r="K68" i="79"/>
  <c r="J68" i="79"/>
  <c r="I68" i="79"/>
  <c r="H68" i="79"/>
  <c r="G68" i="79"/>
  <c r="F68" i="79"/>
  <c r="E68" i="79"/>
  <c r="D68" i="79"/>
  <c r="C68" i="79"/>
  <c r="F67" i="79"/>
  <c r="G67" i="79"/>
  <c r="H67" i="79" s="1"/>
  <c r="I67" i="79" s="1"/>
  <c r="C64" i="79"/>
  <c r="I55" i="79"/>
  <c r="J55" i="79" s="1"/>
  <c r="G55" i="79"/>
  <c r="H55" i="79" s="1"/>
  <c r="E55" i="79"/>
  <c r="F55" i="79" s="1"/>
  <c r="V48" i="79"/>
  <c r="J8" i="79"/>
  <c r="AC8" i="79" s="1"/>
  <c r="J9" i="79"/>
  <c r="AC9" i="79" s="1"/>
  <c r="J10" i="79"/>
  <c r="AC10" i="79" s="1"/>
  <c r="J11" i="79"/>
  <c r="AC11" i="79" s="1"/>
  <c r="J12" i="79"/>
  <c r="AC12" i="79" s="1"/>
  <c r="J13" i="79"/>
  <c r="AC13" i="79" s="1"/>
  <c r="J14" i="79"/>
  <c r="AC14" i="79" s="1"/>
  <c r="J15" i="79"/>
  <c r="AC15" i="79" s="1"/>
  <c r="J17" i="79"/>
  <c r="AC17" i="79" s="1"/>
  <c r="J19" i="79"/>
  <c r="AC19" i="79" s="1"/>
  <c r="J21" i="79"/>
  <c r="AC21" i="79" s="1"/>
  <c r="J23" i="79"/>
  <c r="AC23" i="79" s="1"/>
  <c r="J25" i="79"/>
  <c r="J28" i="79"/>
  <c r="AC28" i="79"/>
  <c r="J29" i="79"/>
  <c r="AC29" i="79"/>
  <c r="J30" i="79"/>
  <c r="AC30" i="79"/>
  <c r="J31" i="79"/>
  <c r="AC31" i="79"/>
  <c r="J32" i="79"/>
  <c r="AC32" i="79"/>
  <c r="J33" i="79"/>
  <c r="AC33" i="79"/>
  <c r="J35" i="79"/>
  <c r="AC35" i="79"/>
  <c r="J36" i="79"/>
  <c r="AC36" i="79"/>
  <c r="J38" i="79"/>
  <c r="J39" i="79"/>
  <c r="AC39" i="79" s="1"/>
  <c r="J40" i="79"/>
  <c r="AC40" i="79" s="1"/>
  <c r="J41" i="79"/>
  <c r="AC41" i="79"/>
  <c r="J42" i="79"/>
  <c r="AC42" i="79"/>
  <c r="J43" i="79"/>
  <c r="AC43" i="79" s="1"/>
  <c r="J44" i="79"/>
  <c r="AC44" i="79" s="1"/>
  <c r="J45" i="79"/>
  <c r="AC45" i="79"/>
  <c r="J46" i="79"/>
  <c r="AC46" i="79"/>
  <c r="J47" i="79"/>
  <c r="AC47" i="79"/>
  <c r="R48" i="79"/>
  <c r="F8" i="79"/>
  <c r="AA8" i="79" s="1"/>
  <c r="F9" i="79"/>
  <c r="F10" i="79"/>
  <c r="AA10" i="79" s="1"/>
  <c r="F11" i="79"/>
  <c r="F12" i="79"/>
  <c r="AA12" i="79" s="1"/>
  <c r="F13" i="79"/>
  <c r="F14" i="79"/>
  <c r="AA14" i="79" s="1"/>
  <c r="F15" i="79"/>
  <c r="AA15" i="79" s="1"/>
  <c r="F17" i="79"/>
  <c r="AA17" i="79" s="1"/>
  <c r="F19" i="79"/>
  <c r="AA19" i="79" s="1"/>
  <c r="F21" i="79"/>
  <c r="AA21" i="79" s="1"/>
  <c r="F23" i="79"/>
  <c r="AA23" i="79" s="1"/>
  <c r="F25" i="79"/>
  <c r="F27" i="79"/>
  <c r="AA27" i="79" s="1"/>
  <c r="F28" i="79"/>
  <c r="F29" i="79"/>
  <c r="AA29" i="79" s="1"/>
  <c r="F30" i="79"/>
  <c r="F31" i="79"/>
  <c r="AA31" i="79" s="1"/>
  <c r="F32" i="79"/>
  <c r="F33" i="79"/>
  <c r="AA33" i="79" s="1"/>
  <c r="F35" i="79"/>
  <c r="F36" i="79"/>
  <c r="AA36" i="79" s="1"/>
  <c r="F38" i="79"/>
  <c r="F39" i="79"/>
  <c r="AA39" i="79" s="1"/>
  <c r="F40" i="79"/>
  <c r="F41" i="79"/>
  <c r="AA41" i="79"/>
  <c r="F42" i="79"/>
  <c r="AA42" i="79"/>
  <c r="F43" i="79"/>
  <c r="AA43" i="79" s="1"/>
  <c r="F44" i="79"/>
  <c r="F45" i="79"/>
  <c r="AA45" i="79"/>
  <c r="F46" i="79"/>
  <c r="AA46" i="79"/>
  <c r="F47" i="79"/>
  <c r="AA47" i="79"/>
  <c r="T48" i="79"/>
  <c r="H8" i="79"/>
  <c r="H9" i="79"/>
  <c r="AB9" i="79" s="1"/>
  <c r="H10" i="79"/>
  <c r="H11" i="79"/>
  <c r="AB11" i="79" s="1"/>
  <c r="H12" i="79"/>
  <c r="H13" i="79"/>
  <c r="AB13" i="79" s="1"/>
  <c r="H14" i="79"/>
  <c r="H15" i="79"/>
  <c r="H17" i="79"/>
  <c r="H19" i="79"/>
  <c r="H21" i="79"/>
  <c r="H23" i="79"/>
  <c r="H25" i="79"/>
  <c r="AB25" i="79" s="1"/>
  <c r="H27" i="79"/>
  <c r="H28" i="79"/>
  <c r="AB28" i="79" s="1"/>
  <c r="H29" i="79"/>
  <c r="H30" i="79"/>
  <c r="AB30" i="79" s="1"/>
  <c r="H31" i="79"/>
  <c r="H32" i="79"/>
  <c r="AB32" i="79" s="1"/>
  <c r="H33" i="79"/>
  <c r="H35" i="79"/>
  <c r="AB35" i="79" s="1"/>
  <c r="H36" i="79"/>
  <c r="H38" i="79"/>
  <c r="AB38" i="79" s="1"/>
  <c r="H39" i="79"/>
  <c r="H40" i="79"/>
  <c r="AB40" i="79" s="1"/>
  <c r="H41" i="79"/>
  <c r="AB41" i="79"/>
  <c r="H42" i="79"/>
  <c r="AB42" i="79"/>
  <c r="H44" i="79"/>
  <c r="AB44" i="79" s="1"/>
  <c r="H45" i="79"/>
  <c r="AB45" i="79" s="1"/>
  <c r="H46" i="79"/>
  <c r="H47" i="79"/>
  <c r="AB47" i="79" s="1"/>
  <c r="P50" i="79"/>
  <c r="P49" i="79"/>
  <c r="P48" i="79"/>
  <c r="Q47" i="79"/>
  <c r="Z47" i="79"/>
  <c r="W47" i="79"/>
  <c r="S47" i="79"/>
  <c r="Q46" i="79"/>
  <c r="Z46" i="79" s="1"/>
  <c r="W46" i="79"/>
  <c r="S46" i="79"/>
  <c r="Q45" i="79"/>
  <c r="Z45" i="79"/>
  <c r="W45" i="79"/>
  <c r="S45" i="79"/>
  <c r="Q44" i="79"/>
  <c r="Z44" i="79" s="1"/>
  <c r="W44" i="79"/>
  <c r="Q43" i="79"/>
  <c r="Z43" i="79" s="1"/>
  <c r="W43" i="79"/>
  <c r="S43" i="79"/>
  <c r="Q42" i="79"/>
  <c r="Z42" i="79" s="1"/>
  <c r="W42" i="79"/>
  <c r="U42" i="79"/>
  <c r="S42" i="79"/>
  <c r="Q41" i="79"/>
  <c r="Z41" i="79"/>
  <c r="W41" i="79"/>
  <c r="U41" i="79"/>
  <c r="S41" i="79"/>
  <c r="Q40" i="79"/>
  <c r="Z40" i="79" s="1"/>
  <c r="W40" i="79"/>
  <c r="Q39" i="79"/>
  <c r="Z39" i="79" s="1"/>
  <c r="W39" i="79"/>
  <c r="S39" i="79"/>
  <c r="Q38" i="79"/>
  <c r="Z38" i="79"/>
  <c r="U38" i="79"/>
  <c r="Q37" i="79"/>
  <c r="Z37" i="79" s="1"/>
  <c r="Q36" i="79"/>
  <c r="Z36" i="79" s="1"/>
  <c r="W36" i="79"/>
  <c r="S36" i="79"/>
  <c r="Q35" i="79"/>
  <c r="Z35" i="79"/>
  <c r="W35" i="79"/>
  <c r="U35" i="79"/>
  <c r="Q34" i="79"/>
  <c r="Z34" i="79" s="1"/>
  <c r="Q33" i="79"/>
  <c r="Z33" i="79" s="1"/>
  <c r="W33" i="79"/>
  <c r="S33" i="79"/>
  <c r="Q32" i="79"/>
  <c r="Z32" i="79"/>
  <c r="W32" i="79"/>
  <c r="U32" i="79"/>
  <c r="Q31" i="79"/>
  <c r="Z31" i="79" s="1"/>
  <c r="W31" i="79"/>
  <c r="S31" i="79"/>
  <c r="Q30" i="79"/>
  <c r="Z30" i="79"/>
  <c r="W30" i="79"/>
  <c r="Q29" i="79"/>
  <c r="Z29" i="79" s="1"/>
  <c r="W29" i="79"/>
  <c r="S29" i="79"/>
  <c r="Q28" i="79"/>
  <c r="Z28" i="79"/>
  <c r="W28" i="79"/>
  <c r="U28" i="79"/>
  <c r="Q27" i="79"/>
  <c r="Z27" i="79" s="1"/>
  <c r="W27" i="79"/>
  <c r="S27" i="79"/>
  <c r="Q25" i="79"/>
  <c r="Z25" i="79"/>
  <c r="U25" i="79"/>
  <c r="Q23" i="79"/>
  <c r="Z23" i="79" s="1"/>
  <c r="W23" i="79"/>
  <c r="S23" i="79"/>
  <c r="C23" i="79"/>
  <c r="Q21" i="79"/>
  <c r="Z21" i="79" s="1"/>
  <c r="W21" i="79"/>
  <c r="S21" i="79"/>
  <c r="C21" i="79"/>
  <c r="Q19" i="79"/>
  <c r="Z19" i="79" s="1"/>
  <c r="W19" i="79"/>
  <c r="S19" i="79"/>
  <c r="C19" i="79"/>
  <c r="Q17" i="79"/>
  <c r="Z17" i="79" s="1"/>
  <c r="W17" i="79"/>
  <c r="S17" i="79"/>
  <c r="C17" i="79"/>
  <c r="Q15" i="79"/>
  <c r="Z15" i="79" s="1"/>
  <c r="W15" i="79"/>
  <c r="S15" i="79"/>
  <c r="C15" i="79"/>
  <c r="Q14" i="79"/>
  <c r="Z14" i="79" s="1"/>
  <c r="W14" i="79"/>
  <c r="S14" i="79"/>
  <c r="Q13" i="79"/>
  <c r="Z13" i="79"/>
  <c r="W13" i="79"/>
  <c r="U13" i="79"/>
  <c r="Q12" i="79"/>
  <c r="Z12" i="79" s="1"/>
  <c r="W12" i="79"/>
  <c r="S12" i="79"/>
  <c r="Q11" i="79"/>
  <c r="Z11" i="79"/>
  <c r="W11" i="79"/>
  <c r="U11" i="79"/>
  <c r="Q10" i="79"/>
  <c r="Z10" i="79" s="1"/>
  <c r="W10" i="79"/>
  <c r="S10" i="79"/>
  <c r="Q9" i="79"/>
  <c r="Z9" i="79"/>
  <c r="W9" i="79"/>
  <c r="U9" i="79"/>
  <c r="W8" i="79"/>
  <c r="S8" i="79"/>
  <c r="C16" i="43"/>
  <c r="G3" i="43"/>
  <c r="K101" i="43" s="1"/>
  <c r="D29" i="43"/>
  <c r="N20" i="1"/>
  <c r="N6" i="1" s="1"/>
  <c r="C19" i="6"/>
  <c r="A6" i="1" s="1"/>
  <c r="B24" i="1"/>
  <c r="F11" i="12" s="1"/>
  <c r="C23" i="12" s="1"/>
  <c r="J50" i="15"/>
  <c r="M47" i="15"/>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s="1"/>
  <c r="N11" i="71"/>
  <c r="Q11" i="71"/>
  <c r="F11" i="71" s="1"/>
  <c r="F10" i="71" s="1"/>
  <c r="F9" i="71" s="1"/>
  <c r="P11" i="71"/>
  <c r="O11" i="71"/>
  <c r="C11" i="71"/>
  <c r="C10" i="71" s="1"/>
  <c r="Q12" i="71"/>
  <c r="P12" i="71"/>
  <c r="E11" i="71"/>
  <c r="E10" i="71"/>
  <c r="E9" i="71" s="1"/>
  <c r="O12" i="71"/>
  <c r="N12" i="71"/>
  <c r="B11" i="71"/>
  <c r="B10" i="71" s="1"/>
  <c r="B9" i="71" s="1"/>
  <c r="B8" i="71" s="1"/>
  <c r="B7" i="71" s="1"/>
  <c r="V11"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A14" i="62"/>
  <c r="A13" i="62"/>
  <c r="B59" i="72" s="1"/>
  <c r="A19" i="62"/>
  <c r="B65" i="72" s="1"/>
  <c r="A12" i="62"/>
  <c r="B58" i="72"/>
  <c r="A120" i="9"/>
  <c r="H2" i="52"/>
  <c r="A1" i="52"/>
  <c r="A3" i="53"/>
  <c r="Q13" i="71"/>
  <c r="P13" i="71"/>
  <c r="O13" i="71"/>
  <c r="N13" i="71"/>
  <c r="A15" i="51"/>
  <c r="B12" i="72"/>
  <c r="C76" i="9"/>
  <c r="I107" i="40"/>
  <c r="K6" i="4"/>
  <c r="B22" i="31"/>
  <c r="N56" i="9"/>
  <c r="M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C8" i="68"/>
  <c r="B49" i="48"/>
  <c r="B5" i="72" s="1"/>
  <c r="I19" i="43"/>
  <c r="D76" i="71"/>
  <c r="F75" i="71"/>
  <c r="F74" i="71" s="1"/>
  <c r="F73" i="71" s="1"/>
  <c r="E75" i="71"/>
  <c r="E74" i="71"/>
  <c r="E73" i="71" s="1"/>
  <c r="C75" i="71"/>
  <c r="D75" i="71" s="1"/>
  <c r="B75" i="71"/>
  <c r="B74" i="71" s="1"/>
  <c r="B73" i="71"/>
  <c r="D72" i="71"/>
  <c r="F71" i="71"/>
  <c r="F70" i="71" s="1"/>
  <c r="F69" i="71" s="1"/>
  <c r="E71" i="71"/>
  <c r="E70" i="71"/>
  <c r="E69" i="71" s="1"/>
  <c r="C71" i="71"/>
  <c r="D71" i="71" s="1"/>
  <c r="B71" i="71"/>
  <c r="B70" i="71" s="1"/>
  <c r="B69" i="71" s="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c r="D52" i="71"/>
  <c r="Q51" i="71"/>
  <c r="P51" i="71"/>
  <c r="O51" i="71"/>
  <c r="N51" i="71"/>
  <c r="Q50" i="71"/>
  <c r="P50" i="71"/>
  <c r="O50" i="71"/>
  <c r="N50" i="71"/>
  <c r="Q49" i="71"/>
  <c r="P49" i="71"/>
  <c r="O49" i="71"/>
  <c r="N49" i="71"/>
  <c r="Q48" i="71"/>
  <c r="F49" i="71"/>
  <c r="F50" i="71" s="1"/>
  <c r="F51" i="71"/>
  <c r="V51" i="71" s="1"/>
  <c r="P48" i="71"/>
  <c r="E49" i="71" s="1"/>
  <c r="O48" i="71"/>
  <c r="C49" i="71" s="1"/>
  <c r="D49" i="71" s="1"/>
  <c r="N48" i="71"/>
  <c r="B49" i="71" s="1"/>
  <c r="B50" i="71"/>
  <c r="B51" i="71" s="1"/>
  <c r="S51" i="71" s="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s="1"/>
  <c r="F42" i="71" s="1"/>
  <c r="F43" i="71" s="1"/>
  <c r="V43" i="71"/>
  <c r="P40" i="71"/>
  <c r="E41" i="71"/>
  <c r="E42"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P36" i="71"/>
  <c r="E37" i="71"/>
  <c r="E38" i="71" s="1"/>
  <c r="E39" i="71"/>
  <c r="U39" i="71" s="1"/>
  <c r="O36" i="71"/>
  <c r="C37" i="71" s="1"/>
  <c r="D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C30" i="71" s="1"/>
  <c r="D30" i="71" s="1"/>
  <c r="N28" i="71"/>
  <c r="B29" i="71" s="1"/>
  <c r="B30" i="71" s="1"/>
  <c r="B31" i="71" s="1"/>
  <c r="S31" i="71" s="1"/>
  <c r="D28" i="71"/>
  <c r="Q27" i="71"/>
  <c r="P27" i="71"/>
  <c r="O27" i="71"/>
  <c r="N27" i="71"/>
  <c r="AB26" i="71"/>
  <c r="Q26" i="71"/>
  <c r="P26" i="71"/>
  <c r="O26" i="71"/>
  <c r="Y26" i="71" s="1"/>
  <c r="Z26" i="71"/>
  <c r="N26" i="71"/>
  <c r="X26" i="71"/>
  <c r="Q25" i="71"/>
  <c r="AB25" i="71"/>
  <c r="P25" i="71"/>
  <c r="O25" i="71"/>
  <c r="Y25" i="71" s="1"/>
  <c r="Z25" i="71" s="1"/>
  <c r="N25" i="71"/>
  <c r="Q24" i="71"/>
  <c r="F25" i="71" s="1"/>
  <c r="F26" i="71" s="1"/>
  <c r="F27" i="71" s="1"/>
  <c r="V27" i="71" s="1"/>
  <c r="P24" i="71"/>
  <c r="O24" i="71"/>
  <c r="C25" i="71" s="1"/>
  <c r="N24" i="71"/>
  <c r="D24" i="71"/>
  <c r="Q23" i="71"/>
  <c r="AB23" i="71"/>
  <c r="P23" i="71"/>
  <c r="O23" i="71"/>
  <c r="N23" i="71"/>
  <c r="Q22" i="71"/>
  <c r="AB22" i="71" s="1"/>
  <c r="P22" i="71"/>
  <c r="O22" i="71"/>
  <c r="N22" i="71"/>
  <c r="Q21" i="71"/>
  <c r="AB21" i="71"/>
  <c r="P21" i="71"/>
  <c r="O21" i="71"/>
  <c r="Y21" i="71" s="1"/>
  <c r="Z21" i="71" s="1"/>
  <c r="N21" i="71"/>
  <c r="Q20" i="71"/>
  <c r="F21" i="71" s="1"/>
  <c r="F22" i="71" s="1"/>
  <c r="F23" i="71" s="1"/>
  <c r="V23" i="71" s="1"/>
  <c r="P20" i="71"/>
  <c r="O20" i="71"/>
  <c r="N20" i="71"/>
  <c r="D20" i="71"/>
  <c r="Q19" i="71"/>
  <c r="P19" i="71"/>
  <c r="O19" i="71"/>
  <c r="N19" i="71"/>
  <c r="Q18" i="71"/>
  <c r="AB18" i="71" s="1"/>
  <c r="P18" i="71"/>
  <c r="O18" i="71"/>
  <c r="N18" i="71"/>
  <c r="X16" i="71" s="1"/>
  <c r="Q17" i="71"/>
  <c r="AB17" i="71"/>
  <c r="P17" i="71"/>
  <c r="O17" i="71"/>
  <c r="Y17" i="71" s="1"/>
  <c r="Z17" i="71" s="1"/>
  <c r="N17" i="71"/>
  <c r="Q16" i="71"/>
  <c r="P16" i="71"/>
  <c r="O16" i="71"/>
  <c r="N16" i="71"/>
  <c r="D16" i="71"/>
  <c r="O15" i="71"/>
  <c r="N15" i="71"/>
  <c r="B17" i="71"/>
  <c r="B18" i="71"/>
  <c r="E17" i="71"/>
  <c r="E18" i="71" s="1"/>
  <c r="E19" i="71"/>
  <c r="U19" i="71" s="1"/>
  <c r="B21" i="71"/>
  <c r="B22" i="71"/>
  <c r="B25" i="71"/>
  <c r="B26" i="71" s="1"/>
  <c r="B27" i="71"/>
  <c r="S27" i="71" s="1"/>
  <c r="X24" i="71"/>
  <c r="E25" i="71"/>
  <c r="E26" i="71"/>
  <c r="N55" i="71"/>
  <c r="E21" i="71"/>
  <c r="E22" i="71"/>
  <c r="E23" i="71" s="1"/>
  <c r="U23" i="71"/>
  <c r="C17" i="71"/>
  <c r="D17" i="71" s="1"/>
  <c r="X18" i="71"/>
  <c r="C21" i="71"/>
  <c r="C22" i="71" s="1"/>
  <c r="D22" i="71" s="1"/>
  <c r="AB20" i="71"/>
  <c r="AA22" i="71"/>
  <c r="X23" i="71"/>
  <c r="AA23" i="71"/>
  <c r="AB24" i="71"/>
  <c r="X25" i="71"/>
  <c r="AA25" i="71"/>
  <c r="F39" i="71"/>
  <c r="V39" i="71" s="1"/>
  <c r="C15" i="71"/>
  <c r="C14" i="71" s="1"/>
  <c r="D14" i="71" s="1"/>
  <c r="X14" i="71"/>
  <c r="D21" i="71"/>
  <c r="D25" i="71"/>
  <c r="D29" i="71"/>
  <c r="C38" i="71"/>
  <c r="D38" i="71" s="1"/>
  <c r="P15" i="71"/>
  <c r="E43" i="71"/>
  <c r="U43" i="71" s="1"/>
  <c r="E46" i="71"/>
  <c r="E47" i="71" s="1"/>
  <c r="U47" i="71"/>
  <c r="E50" i="71"/>
  <c r="E51" i="71"/>
  <c r="U51" i="71" s="1"/>
  <c r="Q52" i="71"/>
  <c r="U55" i="71"/>
  <c r="E54" i="71"/>
  <c r="E53" i="71" s="1"/>
  <c r="P53" i="71" s="1"/>
  <c r="Q15" i="71"/>
  <c r="C42" i="71"/>
  <c r="D42" i="71" s="1"/>
  <c r="D41" i="71"/>
  <c r="C46" i="71"/>
  <c r="D46" i="71" s="1"/>
  <c r="D45" i="71"/>
  <c r="C50" i="71"/>
  <c r="C51" i="71" s="1"/>
  <c r="T51" i="71" s="1"/>
  <c r="Q54" i="71"/>
  <c r="T55" i="71"/>
  <c r="O55" i="71"/>
  <c r="D55" i="71"/>
  <c r="C54" i="71"/>
  <c r="O54" i="71" s="1"/>
  <c r="Q55" i="71"/>
  <c r="C58" i="71"/>
  <c r="D58" i="71" s="1"/>
  <c r="E58" i="71"/>
  <c r="E57" i="71"/>
  <c r="C62" i="71"/>
  <c r="C61" i="71" s="1"/>
  <c r="D61" i="71" s="1"/>
  <c r="E62" i="71"/>
  <c r="E61" i="71"/>
  <c r="D63" i="71"/>
  <c r="C66" i="71"/>
  <c r="C65" i="71" s="1"/>
  <c r="E66" i="71"/>
  <c r="E65" i="71"/>
  <c r="C70" i="71"/>
  <c r="D70" i="71" s="1"/>
  <c r="C74" i="71"/>
  <c r="F15" i="71"/>
  <c r="F14" i="71"/>
  <c r="F13" i="71" s="1"/>
  <c r="AB14" i="71"/>
  <c r="E15" i="71"/>
  <c r="AA12" i="71"/>
  <c r="AA14" i="71"/>
  <c r="C53" i="71"/>
  <c r="D53" i="71" s="1"/>
  <c r="D54" i="71"/>
  <c r="D50" i="71"/>
  <c r="C69" i="71"/>
  <c r="D69" i="71" s="1"/>
  <c r="D62" i="71"/>
  <c r="D74" i="71"/>
  <c r="C73" i="71"/>
  <c r="D73" i="71" s="1"/>
  <c r="D65" i="71"/>
  <c r="C57" i="71"/>
  <c r="D57" i="71" s="1"/>
  <c r="C47" i="71"/>
  <c r="T47" i="71" s="1"/>
  <c r="C43" i="71"/>
  <c r="T43" i="71" s="1"/>
  <c r="P54" i="71"/>
  <c r="C31" i="71"/>
  <c r="T31" i="71" s="1"/>
  <c r="C23" i="71"/>
  <c r="T23" i="71" s="1"/>
  <c r="C13" i="71"/>
  <c r="D13" i="71" s="1"/>
  <c r="P52" i="71"/>
  <c r="O52" i="71"/>
  <c r="D23" i="71"/>
  <c r="D31" i="71"/>
  <c r="D43"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H21" i="37"/>
  <c r="F21" i="37"/>
  <c r="AA21" i="37" s="1"/>
  <c r="H21" i="34"/>
  <c r="AB21" i="34" s="1"/>
  <c r="H21" i="33"/>
  <c r="U21" i="33" s="1"/>
  <c r="F21" i="33"/>
  <c r="E83" i="21"/>
  <c r="S21" i="21"/>
  <c r="H1" i="69"/>
  <c r="W25" i="40"/>
  <c r="U25" i="40"/>
  <c r="W29" i="39"/>
  <c r="AB21" i="37"/>
  <c r="U21" i="37"/>
  <c r="S21" i="37"/>
  <c r="U21" i="34"/>
  <c r="AB21" i="33"/>
  <c r="AA21" i="33"/>
  <c r="S21" i="33"/>
  <c r="U18" i="35"/>
  <c r="AC18" i="35"/>
  <c r="W18" i="35"/>
  <c r="G77" i="37"/>
  <c r="J21" i="37"/>
  <c r="G84" i="34"/>
  <c r="J21" i="34"/>
  <c r="G83" i="33"/>
  <c r="J21" i="33"/>
  <c r="F83" i="21"/>
  <c r="G83" i="21" s="1"/>
  <c r="H21" i="21"/>
  <c r="F38" i="69"/>
  <c r="E37" i="69"/>
  <c r="F36" i="69"/>
  <c r="F35" i="69"/>
  <c r="F21" i="69"/>
  <c r="C21" i="69" s="1"/>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J51" i="67" s="1"/>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K10" i="1" s="1"/>
  <c r="A11" i="1"/>
  <c r="A12" i="1"/>
  <c r="A13" i="1"/>
  <c r="B11" i="1"/>
  <c r="E11"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Q26" i="31"/>
  <c r="Q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s="1"/>
  <c r="B61" i="72" s="1"/>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s="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5" i="3" s="1"/>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c r="H23" i="34"/>
  <c r="U23" i="34"/>
  <c r="J23" i="34"/>
  <c r="F19" i="34"/>
  <c r="H17" i="34"/>
  <c r="U17" i="34"/>
  <c r="F15" i="34"/>
  <c r="J15" i="34"/>
  <c r="AC15" i="34" s="1"/>
  <c r="H15" i="34"/>
  <c r="AB15" i="34"/>
  <c r="S9"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3" i="31"/>
  <c r="S499" i="31"/>
  <c r="O27" i="31"/>
  <c r="O28" i="31"/>
  <c r="O26" i="31"/>
  <c r="M27" i="31"/>
  <c r="M28" i="31"/>
  <c r="M26" i="31"/>
  <c r="I26" i="31"/>
  <c r="I25" i="31"/>
  <c r="K26" i="31"/>
  <c r="I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s="1"/>
  <c r="W15" i="34"/>
  <c r="W16" i="35"/>
  <c r="G107" i="37"/>
  <c r="H107" i="37" s="1"/>
  <c r="I107" i="37"/>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E7" i="34" s="1"/>
  <c r="G7" i="34" s="1"/>
  <c r="I7" i="34" s="1"/>
  <c r="C7" i="36"/>
  <c r="W35" i="40"/>
  <c r="A118" i="9"/>
  <c r="A4" i="52"/>
  <c r="B41" i="72" s="1"/>
  <c r="J11" i="39"/>
  <c r="W11" i="39" s="1"/>
  <c r="F11" i="39"/>
  <c r="AA11" i="39" s="1"/>
  <c r="A12" i="52"/>
  <c r="B56" i="72" s="1"/>
  <c r="S11" i="39"/>
  <c r="G4" i="4"/>
  <c r="I4" i="4"/>
  <c r="K5" i="4"/>
  <c r="B47" i="48" s="1"/>
  <c r="A2" i="9"/>
  <c r="N5" i="43"/>
  <c r="F59" i="43"/>
  <c r="H62" i="43" s="1"/>
  <c r="G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D5" i="3"/>
  <c r="AZ309" i="3"/>
  <c r="AZ317" i="3"/>
  <c r="AZ325" i="3"/>
  <c r="AZ333" i="3"/>
  <c r="AZ341" i="3"/>
  <c r="BQ5" i="3"/>
  <c r="F28" i="6" s="1"/>
  <c r="AC5" i="3"/>
  <c r="AZ549" i="3"/>
  <c r="AZ506" i="3"/>
  <c r="AZ496" i="3"/>
  <c r="G548" i="3"/>
  <c r="G538" i="3"/>
  <c r="G520" i="3"/>
  <c r="G502" i="3"/>
  <c r="BS5" i="3"/>
  <c r="BP5" i="3"/>
  <c r="G29" i="6" s="1"/>
  <c r="BN5"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C42" i="1"/>
  <c r="B41" i="1"/>
  <c r="F31" i="12" s="1"/>
  <c r="H100" i="43"/>
  <c r="C30" i="66"/>
  <c r="E26" i="66" s="1"/>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BL17" i="3"/>
  <c r="AZ17" i="3" s="1"/>
  <c r="J56" i="9"/>
  <c r="J57" i="9" s="1"/>
  <c r="J59" i="9" s="1"/>
  <c r="J61" i="9" s="1"/>
  <c r="A24" i="51"/>
  <c r="B18" i="72" s="1"/>
  <c r="U29" i="34"/>
  <c r="E5" i="6"/>
  <c r="D9" i="11" s="1"/>
  <c r="C9" i="11" s="1"/>
  <c r="P10" i="1"/>
  <c r="I101" i="43"/>
  <c r="I109" i="43" s="1"/>
  <c r="E32" i="6"/>
  <c r="G1" i="68"/>
  <c r="G106" i="43"/>
  <c r="E19" i="69"/>
  <c r="E19" i="68"/>
  <c r="E19" i="11"/>
  <c r="G41" i="69"/>
  <c r="G22" i="69"/>
  <c r="G41" i="68"/>
  <c r="G22" i="68"/>
  <c r="G27" i="12"/>
  <c r="G26" i="12"/>
  <c r="G41" i="11"/>
  <c r="G22" i="11"/>
  <c r="G25" i="12"/>
  <c r="C100" i="43"/>
  <c r="E11" i="43"/>
  <c r="E10" i="43"/>
  <c r="E9" i="43"/>
  <c r="E8" i="43"/>
  <c r="C7" i="43"/>
  <c r="E81" i="43"/>
  <c r="B79" i="43" s="1"/>
  <c r="Z11" i="43"/>
  <c r="Z13" i="43" s="1"/>
  <c r="Y11" i="43"/>
  <c r="Y13" i="43" s="1"/>
  <c r="E48" i="43"/>
  <c r="B46" i="43"/>
  <c r="E70" i="43"/>
  <c r="B68" i="43"/>
  <c r="F100" i="43"/>
  <c r="H17" i="43"/>
  <c r="D9" i="53"/>
  <c r="B25" i="72"/>
  <c r="B24" i="72"/>
  <c r="G6" i="1"/>
  <c r="H85" i="43"/>
  <c r="H81" i="43"/>
  <c r="H84" i="43"/>
  <c r="H88" i="43"/>
  <c r="H53" i="43"/>
  <c r="H78" i="43"/>
  <c r="H71" i="43"/>
  <c r="C17" i="43"/>
  <c r="F33" i="43"/>
  <c r="K17" i="43"/>
  <c r="F34" i="43"/>
  <c r="N6" i="43"/>
  <c r="M5" i="43"/>
  <c r="C6" i="43"/>
  <c r="D5" i="43" s="1"/>
  <c r="N3" i="43"/>
  <c r="F38" i="43"/>
  <c r="F37" i="43"/>
  <c r="M9" i="43"/>
  <c r="M12" i="43"/>
  <c r="B19" i="53"/>
  <c r="B37" i="72" s="1"/>
  <c r="C7" i="39"/>
  <c r="C68" i="39" s="1"/>
  <c r="C7" i="35"/>
  <c r="C48" i="35" s="1"/>
  <c r="C7" i="33"/>
  <c r="C58" i="33"/>
  <c r="D58" i="33" s="1"/>
  <c r="C7" i="21"/>
  <c r="C58" i="21"/>
  <c r="C7" i="40"/>
  <c r="C63" i="40"/>
  <c r="M47" i="9"/>
  <c r="G19" i="43"/>
  <c r="O19" i="43" s="1"/>
  <c r="T35" i="4"/>
  <c r="A19" i="51" s="1"/>
  <c r="B14" i="72" s="1"/>
  <c r="C46" i="36"/>
  <c r="D46" i="36"/>
  <c r="E46" i="36" s="1"/>
  <c r="F46" i="36" s="1"/>
  <c r="G46" i="36" s="1"/>
  <c r="H46" i="36" s="1"/>
  <c r="I46" i="36" s="1"/>
  <c r="J46" i="36" s="1"/>
  <c r="K46" i="36" s="1"/>
  <c r="L46" i="36" s="1"/>
  <c r="M46" i="36" s="1"/>
  <c r="N46" i="36" s="1"/>
  <c r="O46" i="36" s="1"/>
  <c r="C59" i="34"/>
  <c r="D59" i="34"/>
  <c r="E59" i="34" s="1"/>
  <c r="F59" i="34" s="1"/>
  <c r="G59" i="34" s="1"/>
  <c r="H59" i="34" s="1"/>
  <c r="I59" i="34" s="1"/>
  <c r="J59" i="34" s="1"/>
  <c r="K59" i="34" s="1"/>
  <c r="L59" i="34" s="1"/>
  <c r="M59" i="34" s="1"/>
  <c r="N59" i="34" s="1"/>
  <c r="O59" i="34" s="1"/>
  <c r="C52" i="37"/>
  <c r="D52" i="37"/>
  <c r="E52" i="37" s="1"/>
  <c r="A4" i="51"/>
  <c r="B6" i="72"/>
  <c r="C4" i="12"/>
  <c r="C31" i="12" s="1"/>
  <c r="H66" i="43"/>
  <c r="G66" i="43" s="1"/>
  <c r="H65" i="43"/>
  <c r="G65" i="43" s="1"/>
  <c r="H64" i="43"/>
  <c r="G64" i="43" s="1"/>
  <c r="H63" i="43"/>
  <c r="G63" i="43" s="1"/>
  <c r="H55" i="43"/>
  <c r="H56" i="43"/>
  <c r="H72" i="43"/>
  <c r="L20" i="6"/>
  <c r="B6" i="1"/>
  <c r="E6" i="1" s="1"/>
  <c r="S8" i="1"/>
  <c r="AQ8" i="1" s="1"/>
  <c r="K11" i="1"/>
  <c r="M11"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s="1"/>
  <c r="F30" i="11"/>
  <c r="C48" i="11"/>
  <c r="F28" i="67"/>
  <c r="F52" i="9"/>
  <c r="M18" i="67"/>
  <c r="F32" i="67"/>
  <c r="F60" i="67" s="1"/>
  <c r="F30" i="69"/>
  <c r="C48" i="69" s="1"/>
  <c r="F32" i="15"/>
  <c r="F60" i="15" s="1"/>
  <c r="M18" i="15"/>
  <c r="F28" i="15"/>
  <c r="D9" i="69"/>
  <c r="C9" i="69" s="1"/>
  <c r="D19" i="12"/>
  <c r="C19" i="12" s="1"/>
  <c r="AQ9" i="1"/>
  <c r="C28" i="15"/>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0" i="34"/>
  <c r="J10" i="34"/>
  <c r="W10" i="34" s="1"/>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B15" i="21"/>
  <c r="J23" i="21"/>
  <c r="F85" i="21"/>
  <c r="G85" i="21" s="1"/>
  <c r="H23" i="21"/>
  <c r="U23" i="21" s="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P7" i="1"/>
  <c r="AC11" i="37"/>
  <c r="W11" i="37"/>
  <c r="AC11" i="34"/>
  <c r="F34" i="11"/>
  <c r="C36" i="11" s="1"/>
  <c r="R8" i="1"/>
  <c r="AE7" i="1"/>
  <c r="AE8" i="1"/>
  <c r="AG6" i="1"/>
  <c r="H109" i="9"/>
  <c r="H110" i="9" s="1"/>
  <c r="D18" i="53" s="1"/>
  <c r="B35" i="72" s="1"/>
  <c r="D124" i="9"/>
  <c r="D10" i="52" s="1"/>
  <c r="H14" i="74"/>
  <c r="B7" i="74" s="1"/>
  <c r="H112" i="9"/>
  <c r="D21" i="53" s="1"/>
  <c r="B39" i="72" s="1"/>
  <c r="H111" i="9"/>
  <c r="D126" i="9"/>
  <c r="I14" i="74" s="1"/>
  <c r="B8" i="74" s="1"/>
  <c r="D19" i="53"/>
  <c r="D59" i="9"/>
  <c r="M55" i="9" s="1"/>
  <c r="B38" i="72"/>
  <c r="D20" i="53"/>
  <c r="B40" i="72"/>
  <c r="AD3" i="71"/>
  <c r="C65" i="40"/>
  <c r="D63" i="40"/>
  <c r="J1" i="73"/>
  <c r="C13" i="12"/>
  <c r="C30" i="69"/>
  <c r="C77" i="9"/>
  <c r="C74" i="9"/>
  <c r="C28" i="67"/>
  <c r="C30" i="68"/>
  <c r="H77" i="43"/>
  <c r="H76" i="43"/>
  <c r="H51" i="43"/>
  <c r="H67" i="43"/>
  <c r="G67" i="43" s="1"/>
  <c r="H59" i="43"/>
  <c r="G59" i="43" s="1"/>
  <c r="H60" i="43"/>
  <c r="G60" i="43" s="1"/>
  <c r="H61" i="43"/>
  <c r="G61" i="43" s="1"/>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s="1"/>
  <c r="D10" i="71"/>
  <c r="D11" i="71"/>
  <c r="U11" i="71"/>
  <c r="S11" i="71"/>
  <c r="T11" i="71"/>
  <c r="AB9" i="71"/>
  <c r="X7" i="71"/>
  <c r="X6" i="71"/>
  <c r="AA7" i="71"/>
  <c r="AA6" i="71"/>
  <c r="X10" i="71"/>
  <c r="Y6" i="71"/>
  <c r="Z6" i="71" s="1"/>
  <c r="AB7" i="71"/>
  <c r="AB6" i="71"/>
  <c r="B6" i="71"/>
  <c r="B5" i="71" s="1"/>
  <c r="S7" i="71"/>
  <c r="C94" i="9"/>
  <c r="C92" i="9"/>
  <c r="F8" i="71"/>
  <c r="F7" i="71"/>
  <c r="F6" i="71" s="1"/>
  <c r="F5" i="71" s="1"/>
  <c r="Y7" i="71"/>
  <c r="Z7" i="71"/>
  <c r="AB3" i="71"/>
  <c r="X3" i="71"/>
  <c r="C8" i="71"/>
  <c r="C7" i="71" s="1"/>
  <c r="E8" i="71"/>
  <c r="E7" i="71"/>
  <c r="AF3" i="71"/>
  <c r="P24" i="43"/>
  <c r="B66" i="40" s="1"/>
  <c r="P21" i="43"/>
  <c r="P22" i="43"/>
  <c r="C19" i="68"/>
  <c r="F31" i="15"/>
  <c r="M17" i="67"/>
  <c r="F59" i="67"/>
  <c r="F59" i="15"/>
  <c r="M17" i="15"/>
  <c r="F31" i="67"/>
  <c r="D65" i="40"/>
  <c r="E63" i="40"/>
  <c r="E58" i="21"/>
  <c r="F58" i="21" s="1"/>
  <c r="E6" i="71"/>
  <c r="E5" i="71" s="1"/>
  <c r="V7" i="71"/>
  <c r="P23" i="43"/>
  <c r="B71" i="39"/>
  <c r="D8" i="71"/>
  <c r="P25" i="43"/>
  <c r="E65" i="40"/>
  <c r="F63" i="40"/>
  <c r="F65" i="40"/>
  <c r="G63" i="40"/>
  <c r="H63" i="40" s="1"/>
  <c r="G65" i="40"/>
  <c r="F34" i="68"/>
  <c r="D9" i="68"/>
  <c r="D2" i="21"/>
  <c r="F27" i="68"/>
  <c r="D2" i="35"/>
  <c r="C36" i="68"/>
  <c r="B12" i="76"/>
  <c r="D2" i="36"/>
  <c r="AO7" i="1"/>
  <c r="AO9" i="1"/>
  <c r="F5" i="73"/>
  <c r="AO12" i="1"/>
  <c r="E12" i="76"/>
  <c r="E13" i="76"/>
  <c r="B7" i="76"/>
  <c r="E2" i="68"/>
  <c r="E10" i="76"/>
  <c r="B8" i="76"/>
  <c r="E7" i="76"/>
  <c r="E11" i="76"/>
  <c r="B9" i="76"/>
  <c r="B11" i="76"/>
  <c r="F3" i="73"/>
  <c r="AO11" i="1"/>
  <c r="D35" i="9"/>
  <c r="D2" i="37"/>
  <c r="F4" i="73"/>
  <c r="D2" i="79"/>
  <c r="F20" i="31"/>
  <c r="D3" i="73"/>
  <c r="B13" i="76"/>
  <c r="E8" i="76"/>
  <c r="D2" i="34"/>
  <c r="E9" i="76"/>
  <c r="D6" i="73"/>
  <c r="AO13" i="1"/>
  <c r="D2" i="33"/>
  <c r="AO8" i="1"/>
  <c r="B10" i="76"/>
  <c r="E2" i="69"/>
  <c r="D7" i="73"/>
  <c r="F7" i="73"/>
  <c r="D5" i="73"/>
  <c r="D34" i="9"/>
  <c r="AO10" i="1"/>
  <c r="F6" i="73"/>
  <c r="S7" i="43" l="1"/>
  <c r="AG11" i="43"/>
  <c r="AG13" i="43" s="1"/>
  <c r="AH11" i="43"/>
  <c r="AH13" i="43" s="1"/>
  <c r="AQ12" i="1"/>
  <c r="G103" i="43"/>
  <c r="L101" i="43"/>
  <c r="B113" i="43"/>
  <c r="BJ5" i="3"/>
  <c r="E14" i="6" s="1"/>
  <c r="BF5" i="3"/>
  <c r="E11" i="6"/>
  <c r="E12" i="6"/>
  <c r="E57" i="40" s="1"/>
  <c r="F30" i="6"/>
  <c r="P16" i="1"/>
  <c r="C11" i="12" s="1"/>
  <c r="C15" i="12" s="1"/>
  <c r="L106" i="43"/>
  <c r="I105" i="43"/>
  <c r="I104" i="43"/>
  <c r="S4" i="43"/>
  <c r="T9" i="1"/>
  <c r="AC11" i="43"/>
  <c r="AC13" i="43" s="1"/>
  <c r="S5" i="43"/>
  <c r="AD11" i="43"/>
  <c r="AD13" i="43" s="1"/>
  <c r="AR10" i="1"/>
  <c r="S2" i="43"/>
  <c r="I116" i="43"/>
  <c r="J116" i="43" s="1"/>
  <c r="K116" i="43" s="1"/>
  <c r="L116" i="43" s="1"/>
  <c r="M116" i="43" s="1"/>
  <c r="B116" i="43"/>
  <c r="C116" i="43" s="1"/>
  <c r="I118" i="43"/>
  <c r="J118" i="43" s="1"/>
  <c r="K118" i="43" s="1"/>
  <c r="L118" i="43" s="1"/>
  <c r="M118" i="43" s="1"/>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s="1"/>
  <c r="AE11" i="43"/>
  <c r="AE13" i="43" s="1"/>
  <c r="AI11" i="43"/>
  <c r="AI13" i="43" s="1"/>
  <c r="Z7" i="43"/>
  <c r="AB11" i="43"/>
  <c r="AB13" i="43" s="1"/>
  <c r="AF11" i="43"/>
  <c r="AF13" i="43" s="1"/>
  <c r="AJ11" i="43"/>
  <c r="AJ13" i="43" s="1"/>
  <c r="J109" i="43"/>
  <c r="T10" i="1"/>
  <c r="T12" i="1"/>
  <c r="F103" i="43"/>
  <c r="D115" i="43"/>
  <c r="E115" i="43" s="1"/>
  <c r="F115" i="43" s="1"/>
  <c r="G115" i="43" s="1"/>
  <c r="H115" i="43" s="1"/>
  <c r="B117" i="43"/>
  <c r="C117" i="43" s="1"/>
  <c r="B118" i="43"/>
  <c r="C118" i="43" s="1"/>
  <c r="G118" i="43"/>
  <c r="H118" i="43" s="1"/>
  <c r="D116" i="43"/>
  <c r="E116" i="43" s="1"/>
  <c r="F116" i="43" s="1"/>
  <c r="G116" i="43" s="1"/>
  <c r="H116" i="43" s="1"/>
  <c r="G104" i="43"/>
  <c r="G107" i="43"/>
  <c r="F102" i="43"/>
  <c r="J107" i="43"/>
  <c r="E101" i="43"/>
  <c r="E109" i="43" s="1"/>
  <c r="M101" i="43"/>
  <c r="M104" i="43" s="1"/>
  <c r="H101" i="43"/>
  <c r="H106" i="43" s="1"/>
  <c r="H22" i="43"/>
  <c r="G102" i="43"/>
  <c r="D117" i="43"/>
  <c r="E117" i="43" s="1"/>
  <c r="F117" i="43" s="1"/>
  <c r="G117" i="43" s="1"/>
  <c r="H117" i="43" s="1"/>
  <c r="N104" i="46"/>
  <c r="C101" i="43"/>
  <c r="N101" i="43"/>
  <c r="O16" i="1"/>
  <c r="AR8" i="1"/>
  <c r="K7" i="1"/>
  <c r="M7" i="1" s="1"/>
  <c r="K1" i="12"/>
  <c r="B8" i="49"/>
  <c r="B4" i="49"/>
  <c r="B13" i="49"/>
  <c r="E4" i="4" s="1"/>
  <c r="B5" i="62" s="1"/>
  <c r="B73" i="72" s="1"/>
  <c r="E15" i="49"/>
  <c r="B11" i="49"/>
  <c r="B10" i="49"/>
  <c r="E11" i="49"/>
  <c r="E10" i="49"/>
  <c r="B15" i="49"/>
  <c r="B22" i="49"/>
  <c r="B16" i="49"/>
  <c r="E21" i="49"/>
  <c r="E8" i="49"/>
  <c r="E22" i="49"/>
  <c r="E14" i="49"/>
  <c r="C6" i="71"/>
  <c r="T7" i="71"/>
  <c r="D7" i="71"/>
  <c r="U7" i="71" s="1"/>
  <c r="I63" i="40"/>
  <c r="H65" i="40"/>
  <c r="G58" i="21"/>
  <c r="H58" i="21" s="1"/>
  <c r="I58" i="21" s="1"/>
  <c r="J58" i="21" s="1"/>
  <c r="K58" i="21" s="1"/>
  <c r="L58" i="21" s="1"/>
  <c r="M58" i="21" s="1"/>
  <c r="N58" i="21" s="1"/>
  <c r="O58" i="21" s="1"/>
  <c r="H7" i="21"/>
  <c r="F52" i="37"/>
  <c r="G52" i="37" s="1"/>
  <c r="H52" i="37" s="1"/>
  <c r="I52" i="37" s="1"/>
  <c r="J52" i="37" s="1"/>
  <c r="K52" i="37" s="1"/>
  <c r="L52" i="37" s="1"/>
  <c r="M52" i="37" s="1"/>
  <c r="N52" i="37" s="1"/>
  <c r="O52" i="37" s="1"/>
  <c r="H7" i="37"/>
  <c r="C70" i="39"/>
  <c r="D68" i="39"/>
  <c r="E62" i="39"/>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G30" i="6"/>
  <c r="G31" i="6" s="1"/>
  <c r="E28" i="6"/>
  <c r="K62" i="43"/>
  <c r="M62" i="43"/>
  <c r="N62" i="43" s="1"/>
  <c r="E29" i="6"/>
  <c r="K15" i="1" s="1"/>
  <c r="AZ521" i="3"/>
  <c r="AZ508" i="3"/>
  <c r="AZ520" i="3"/>
  <c r="AC40" i="37"/>
  <c r="W40" i="37"/>
  <c r="U11" i="36"/>
  <c r="AB11" i="36"/>
  <c r="W32" i="36"/>
  <c r="AC32" i="36"/>
  <c r="W45" i="33"/>
  <c r="AC45" i="33"/>
  <c r="S13" i="33"/>
  <c r="AA13" i="33"/>
  <c r="U26" i="33"/>
  <c r="AB26" i="33"/>
  <c r="G88" i="34"/>
  <c r="H88" i="34" s="1"/>
  <c r="I88" i="34" s="1"/>
  <c r="J88" i="34" s="1"/>
  <c r="K88" i="34" s="1"/>
  <c r="L88" i="34" s="1"/>
  <c r="M88" i="34" s="1"/>
  <c r="F25" i="34"/>
  <c r="F90" i="34"/>
  <c r="G90" i="34" s="1"/>
  <c r="H90" i="34" s="1"/>
  <c r="I90" i="34" s="1"/>
  <c r="J90" i="34" s="1"/>
  <c r="K90" i="34" s="1"/>
  <c r="L90" i="34" s="1"/>
  <c r="M90" i="34" s="1"/>
  <c r="F27" i="34"/>
  <c r="W12" i="34"/>
  <c r="AC12" i="34"/>
  <c r="H7" i="36"/>
  <c r="J7" i="36"/>
  <c r="K60" i="43"/>
  <c r="M60" i="43"/>
  <c r="N60" i="43" s="1"/>
  <c r="K67" i="43"/>
  <c r="M67" i="43"/>
  <c r="N67" i="43" s="1"/>
  <c r="K63" i="43"/>
  <c r="M63" i="43"/>
  <c r="N63" i="43" s="1"/>
  <c r="K65" i="43"/>
  <c r="M65" i="43"/>
  <c r="N65" i="43" s="1"/>
  <c r="H7" i="34"/>
  <c r="J7" i="34"/>
  <c r="J7" i="21"/>
  <c r="F7" i="21"/>
  <c r="F7" i="36"/>
  <c r="J7" i="37"/>
  <c r="F7" i="37"/>
  <c r="G17" i="43"/>
  <c r="K61" i="43"/>
  <c r="M61" i="43"/>
  <c r="N61" i="43" s="1"/>
  <c r="K59" i="43"/>
  <c r="M59" i="43"/>
  <c r="N59" i="43" s="1"/>
  <c r="D12" i="52"/>
  <c r="D127" i="9"/>
  <c r="D13" i="52" s="1"/>
  <c r="D125" i="9"/>
  <c r="D11" i="52" s="1"/>
  <c r="D16" i="53"/>
  <c r="F7" i="34"/>
  <c r="T8" i="1"/>
  <c r="H109" i="43"/>
  <c r="E107" i="43"/>
  <c r="K120" i="9"/>
  <c r="A18" i="62" s="1"/>
  <c r="B64" i="72" s="1"/>
  <c r="S13" i="21"/>
  <c r="AA23" i="21"/>
  <c r="AC15" i="21"/>
  <c r="K64" i="43"/>
  <c r="M64" i="43"/>
  <c r="N64" i="43" s="1"/>
  <c r="K66" i="43"/>
  <c r="M66" i="43"/>
  <c r="N66" i="43" s="1"/>
  <c r="I115" i="43"/>
  <c r="J115" i="43" s="1"/>
  <c r="K115" i="43" s="1"/>
  <c r="L115" i="43" s="1"/>
  <c r="M115" i="43" s="1"/>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s="1"/>
  <c r="AZ439" i="3"/>
  <c r="AZ475" i="3"/>
  <c r="AZ489" i="3"/>
  <c r="AZ316" i="3"/>
  <c r="AZ332" i="3"/>
  <c r="AZ231" i="3"/>
  <c r="AZ247" i="3"/>
  <c r="AZ264" i="3"/>
  <c r="AZ293" i="3"/>
  <c r="BL15" i="3"/>
  <c r="AZ15" i="3" s="1"/>
  <c r="C40" i="69"/>
  <c r="AZ185" i="3"/>
  <c r="AZ207" i="3"/>
  <c r="AZ22" i="3"/>
  <c r="AZ25" i="3"/>
  <c r="AZ36" i="3"/>
  <c r="AZ46" i="3"/>
  <c r="AZ57" i="3"/>
  <c r="AZ62" i="3"/>
  <c r="AZ81" i="3"/>
  <c r="AZ99" i="3"/>
  <c r="AZ103" i="3"/>
  <c r="AZ106" i="3"/>
  <c r="F3" i="35"/>
  <c r="D24" i="67"/>
  <c r="D23" i="67"/>
  <c r="X20" i="71"/>
  <c r="X21" i="71"/>
  <c r="X22" i="71"/>
  <c r="AA26" i="71"/>
  <c r="AA24" i="71"/>
  <c r="C34" i="71"/>
  <c r="D34" i="71" s="1"/>
  <c r="D33" i="71"/>
  <c r="C7" i="79"/>
  <c r="J51" i="15"/>
  <c r="W18" i="36"/>
  <c r="U29" i="39"/>
  <c r="S21" i="34"/>
  <c r="C25" i="40"/>
  <c r="B75" i="43"/>
  <c r="B66" i="43"/>
  <c r="C29" i="39"/>
  <c r="AA18" i="35"/>
  <c r="S18" i="35"/>
  <c r="AA29" i="39"/>
  <c r="S29" i="39"/>
  <c r="D47" i="71"/>
  <c r="O53" i="71"/>
  <c r="C39" i="71"/>
  <c r="D66" i="71"/>
  <c r="D15" i="71"/>
  <c r="U15" i="71" s="1"/>
  <c r="E14" i="71"/>
  <c r="E13" i="71" s="1"/>
  <c r="V15" i="71"/>
  <c r="AB12" i="71"/>
  <c r="T15" i="71"/>
  <c r="AA3" i="71"/>
  <c r="AA13" i="71"/>
  <c r="AA15" i="71"/>
  <c r="C18" i="71"/>
  <c r="X12" i="71"/>
  <c r="Y24" i="71"/>
  <c r="Z24" i="71" s="1"/>
  <c r="AA21" i="71"/>
  <c r="Y20" i="71"/>
  <c r="Z20" i="71" s="1"/>
  <c r="X19" i="71"/>
  <c r="X17" i="71"/>
  <c r="E27" i="71"/>
  <c r="U27" i="71" s="1"/>
  <c r="B23" i="71"/>
  <c r="S23" i="71" s="1"/>
  <c r="AA16" i="71"/>
  <c r="B19" i="71"/>
  <c r="S19" i="71" s="1"/>
  <c r="B15" i="71"/>
  <c r="X13" i="71"/>
  <c r="X15" i="71"/>
  <c r="Y16" i="71"/>
  <c r="Z16" i="71" s="1"/>
  <c r="Y3" i="71"/>
  <c r="Z3" i="71" s="1"/>
  <c r="Y12" i="71"/>
  <c r="Z12" i="71" s="1"/>
  <c r="Y13" i="71"/>
  <c r="Z13" i="71" s="1"/>
  <c r="Y14" i="71"/>
  <c r="Z14" i="71" s="1"/>
  <c r="Y15" i="71"/>
  <c r="Z15" i="71" s="1"/>
  <c r="AB16" i="71"/>
  <c r="AB13" i="71"/>
  <c r="AB15" i="71"/>
  <c r="F17" i="71"/>
  <c r="F18" i="71" s="1"/>
  <c r="F19" i="71" s="1"/>
  <c r="V19" i="71" s="1"/>
  <c r="Y18" i="71"/>
  <c r="Z18" i="71" s="1"/>
  <c r="AA17" i="71"/>
  <c r="AA18" i="71"/>
  <c r="Y19" i="71"/>
  <c r="Z19" i="71" s="1"/>
  <c r="AB19" i="71"/>
  <c r="Y22" i="71"/>
  <c r="Z22" i="71" s="1"/>
  <c r="AA20" i="71"/>
  <c r="AA19" i="71"/>
  <c r="Y23" i="71"/>
  <c r="Z23" i="71" s="1"/>
  <c r="C26" i="71"/>
  <c r="S55" i="71"/>
  <c r="B54" i="71"/>
  <c r="T59" i="71"/>
  <c r="D59" i="71"/>
  <c r="T67" i="71"/>
  <c r="D67" i="71"/>
  <c r="AB11" i="71"/>
  <c r="X11" i="71"/>
  <c r="AA11" i="71"/>
  <c r="Y9" i="71"/>
  <c r="Z9" i="71" s="1"/>
  <c r="AA10" i="71"/>
  <c r="AA5" i="71"/>
  <c r="G1" i="67"/>
  <c r="K6" i="1"/>
  <c r="G16" i="1" s="1"/>
  <c r="G1" i="15"/>
  <c r="P74" i="67"/>
  <c r="Y11" i="71"/>
  <c r="Z11" i="71" s="1"/>
  <c r="BL13" i="3"/>
  <c r="BL5" i="3" s="1"/>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s="1"/>
  <c r="AA9" i="71"/>
  <c r="X8" i="71"/>
  <c r="X9" i="71"/>
  <c r="Y8" i="71"/>
  <c r="Z8" i="71" s="1"/>
  <c r="AA8" i="71"/>
  <c r="AB8" i="71"/>
  <c r="X5" i="71"/>
  <c r="Y5" i="71"/>
  <c r="Z5" i="71" s="1"/>
  <c r="AB5" i="71"/>
  <c r="D3" i="79"/>
  <c r="L19" i="6"/>
  <c r="L27" i="6" s="1"/>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E19" i="6"/>
  <c r="C34" i="34"/>
  <c r="C27" i="31"/>
  <c r="G13" i="3"/>
  <c r="H43" i="79"/>
  <c r="F124" i="79"/>
  <c r="G124" i="79" s="1"/>
  <c r="H124" i="79" s="1"/>
  <c r="I124" i="79" s="1"/>
  <c r="J124" i="79" s="1"/>
  <c r="K124" i="79" s="1"/>
  <c r="L124" i="79" s="1"/>
  <c r="M124" i="79" s="1"/>
  <c r="U44" i="79"/>
  <c r="U40" i="79"/>
  <c r="C25" i="31"/>
  <c r="C26" i="31"/>
  <c r="U44" i="34"/>
  <c r="AC10" i="34"/>
  <c r="AC36" i="34"/>
  <c r="E9" i="49"/>
  <c r="E13" i="49"/>
  <c r="B14" i="49"/>
  <c r="E4" i="49"/>
  <c r="B5" i="49"/>
  <c r="E5" i="49"/>
  <c r="E6" i="49"/>
  <c r="E16" i="49"/>
  <c r="B9" i="49"/>
  <c r="B6" i="49"/>
  <c r="E7" i="49"/>
  <c r="B7" i="49"/>
  <c r="C4" i="4" s="1"/>
  <c r="B4" i="62" s="1"/>
  <c r="B71" i="72" s="1"/>
  <c r="G112" i="79"/>
  <c r="F37" i="79" s="1"/>
  <c r="H37" i="34"/>
  <c r="G112" i="34"/>
  <c r="AC17" i="34"/>
  <c r="G5" i="3"/>
  <c r="B3" i="3" s="1"/>
  <c r="E237" i="3" s="1"/>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s="1"/>
  <c r="C21" i="43" s="1"/>
  <c r="J34" i="34"/>
  <c r="B13" i="70"/>
  <c r="B9" i="70"/>
  <c r="B10" i="70"/>
  <c r="B7" i="70"/>
  <c r="B8" i="70"/>
  <c r="B11" i="70"/>
  <c r="B12" i="70"/>
  <c r="C29" i="68"/>
  <c r="D27" i="68" s="1"/>
  <c r="C47" i="68"/>
  <c r="D45" i="68" s="1"/>
  <c r="C9" i="68"/>
  <c r="I1" i="73"/>
  <c r="B39" i="1" s="1"/>
  <c r="G1" i="73"/>
  <c r="D4" i="73"/>
  <c r="L109" i="43" l="1"/>
  <c r="L107" i="43"/>
  <c r="C12" i="12"/>
  <c r="E103" i="43"/>
  <c r="H103" i="43"/>
  <c r="L102" i="43"/>
  <c r="L104" i="43"/>
  <c r="E15" i="6"/>
  <c r="E16" i="6" s="1"/>
  <c r="L103" i="43"/>
  <c r="B115" i="43"/>
  <c r="C115" i="43" s="1"/>
  <c r="I117" i="43"/>
  <c r="J117" i="43" s="1"/>
  <c r="K117" i="43" s="1"/>
  <c r="L117" i="43" s="1"/>
  <c r="M117" i="43" s="1"/>
  <c r="D118" i="43"/>
  <c r="E118" i="43" s="1"/>
  <c r="F118" i="43" s="1"/>
  <c r="E60" i="40"/>
  <c r="E65" i="39"/>
  <c r="J104" i="43"/>
  <c r="J103" i="43"/>
  <c r="J105" i="43"/>
  <c r="D109" i="43"/>
  <c r="D106" i="43"/>
  <c r="D105" i="43"/>
  <c r="D102" i="43"/>
  <c r="E64" i="39"/>
  <c r="E59" i="40"/>
  <c r="M103" i="43"/>
  <c r="Q16" i="1"/>
  <c r="F27" i="11" s="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s="1"/>
  <c r="F10" i="40"/>
  <c r="AA10" i="40" s="1"/>
  <c r="E20" i="43"/>
  <c r="N28" i="43" s="1"/>
  <c r="G20" i="43" s="1"/>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s="1"/>
  <c r="S15" i="71"/>
  <c r="C59" i="79"/>
  <c r="D59" i="79" s="1"/>
  <c r="E59" i="79" s="1"/>
  <c r="F59" i="79" s="1"/>
  <c r="G59" i="79" s="1"/>
  <c r="H59" i="79" s="1"/>
  <c r="I59" i="79" s="1"/>
  <c r="J59" i="79" s="1"/>
  <c r="K59" i="79" s="1"/>
  <c r="L59" i="79" s="1"/>
  <c r="M59" i="79" s="1"/>
  <c r="N59" i="79" s="1"/>
  <c r="O59" i="79" s="1"/>
  <c r="E7" i="79"/>
  <c r="AC36" i="35"/>
  <c r="W36" i="35"/>
  <c r="AA34" i="35"/>
  <c r="S34" i="35"/>
  <c r="E58" i="40"/>
  <c r="E63" i="39"/>
  <c r="E66" i="39" s="1"/>
  <c r="J66" i="43"/>
  <c r="D66" i="43"/>
  <c r="J64" i="43"/>
  <c r="D64" i="43"/>
  <c r="AA7" i="34"/>
  <c r="S7" i="34"/>
  <c r="D59" i="43"/>
  <c r="J59" i="43"/>
  <c r="J61" i="43"/>
  <c r="D61" i="43"/>
  <c r="S7" i="37"/>
  <c r="AA7" i="37"/>
  <c r="R42" i="37" s="1"/>
  <c r="AA7" i="36"/>
  <c r="R36" i="36" s="1"/>
  <c r="S7" i="36"/>
  <c r="W7" i="21"/>
  <c r="AC7" i="21"/>
  <c r="V48" i="21" s="1"/>
  <c r="I48" i="21" s="1"/>
  <c r="AB7" i="34"/>
  <c r="U7" i="34"/>
  <c r="J65" i="43"/>
  <c r="D65" i="43"/>
  <c r="D63" i="43"/>
  <c r="J63" i="43"/>
  <c r="D67" i="43"/>
  <c r="J67" i="43"/>
  <c r="J60" i="43"/>
  <c r="D60" i="43"/>
  <c r="U7" i="36"/>
  <c r="AB7" i="36"/>
  <c r="T36" i="36" s="1"/>
  <c r="G36" i="36" s="1"/>
  <c r="K14" i="1"/>
  <c r="M14" i="1" s="1"/>
  <c r="E30" i="6"/>
  <c r="AA7" i="35"/>
  <c r="R38" i="35" s="1"/>
  <c r="S7" i="35"/>
  <c r="F7" i="33"/>
  <c r="E68" i="39"/>
  <c r="D70" i="39"/>
  <c r="U7" i="37"/>
  <c r="AB7" i="37"/>
  <c r="T42" i="37" s="1"/>
  <c r="G42" i="37" s="1"/>
  <c r="AB7" i="21"/>
  <c r="T48" i="21" s="1"/>
  <c r="G48" i="21" s="1"/>
  <c r="U7" i="21"/>
  <c r="J34" i="79"/>
  <c r="C34" i="69"/>
  <c r="C38" i="69" s="1"/>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s="1"/>
  <c r="D18" i="71"/>
  <c r="C19" i="71"/>
  <c r="T39" i="71"/>
  <c r="D39" i="71"/>
  <c r="AB34" i="35"/>
  <c r="U34" i="35"/>
  <c r="U12" i="34"/>
  <c r="AB12" i="34"/>
  <c r="BA5" i="3"/>
  <c r="E27" i="6" s="1"/>
  <c r="D17" i="53"/>
  <c r="B36" i="72" s="1"/>
  <c r="B34" i="72"/>
  <c r="W7" i="37"/>
  <c r="AC7" i="37"/>
  <c r="V42" i="37" s="1"/>
  <c r="I42" i="37" s="1"/>
  <c r="AA7" i="21"/>
  <c r="R48" i="21" s="1"/>
  <c r="S7" i="21"/>
  <c r="AC7" i="34"/>
  <c r="W7" i="34"/>
  <c r="W7" i="36"/>
  <c r="AC7" i="36"/>
  <c r="V36" i="36" s="1"/>
  <c r="I36" i="36" s="1"/>
  <c r="AA27" i="34"/>
  <c r="S27" i="34"/>
  <c r="S25" i="34"/>
  <c r="AA25" i="34"/>
  <c r="J62" i="43"/>
  <c r="D62" i="43"/>
  <c r="J7" i="35"/>
  <c r="H7" i="35"/>
  <c r="H7" i="33"/>
  <c r="J7" i="33"/>
  <c r="J63" i="40"/>
  <c r="I65" i="40"/>
  <c r="D6" i="71"/>
  <c r="C5" i="71"/>
  <c r="K4" i="4"/>
  <c r="B46" i="48" s="1"/>
  <c r="B4" i="72" s="1"/>
  <c r="U43" i="79"/>
  <c r="AB43" i="79"/>
  <c r="B40" i="1"/>
  <c r="F24" i="15" s="1"/>
  <c r="C24" i="15" s="1"/>
  <c r="S37" i="79"/>
  <c r="AA37" i="79"/>
  <c r="H112" i="79"/>
  <c r="I112" i="79" s="1"/>
  <c r="J112" i="79" s="1"/>
  <c r="K112" i="79" s="1"/>
  <c r="L112" i="79" s="1"/>
  <c r="M112" i="79" s="1"/>
  <c r="J37" i="79"/>
  <c r="H37" i="79"/>
  <c r="F37" i="34"/>
  <c r="J37" i="34"/>
  <c r="H112" i="34"/>
  <c r="I112" i="34" s="1"/>
  <c r="J112" i="34" s="1"/>
  <c r="K112" i="34" s="1"/>
  <c r="L112" i="34" s="1"/>
  <c r="M112" i="34" s="1"/>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s="1"/>
  <c r="D28" i="12" s="1"/>
  <c r="F10" i="39"/>
  <c r="J10" i="40"/>
  <c r="H10" i="39"/>
  <c r="J10" i="39"/>
  <c r="AC34" i="34"/>
  <c r="W34" i="34"/>
  <c r="S10" i="40"/>
  <c r="AC34" i="79"/>
  <c r="W34" i="79"/>
  <c r="U10" i="40"/>
  <c r="M11" i="15"/>
  <c r="F11" i="15"/>
  <c r="C53" i="15" s="1"/>
  <c r="F11" i="67"/>
  <c r="M11" i="67"/>
  <c r="J10" i="67" s="1"/>
  <c r="F37" i="15"/>
  <c r="C76" i="15"/>
  <c r="F16" i="15"/>
  <c r="M24" i="15"/>
  <c r="J15" i="15"/>
  <c r="F8" i="15"/>
  <c r="F7" i="15"/>
  <c r="F26" i="15"/>
  <c r="F36" i="15"/>
  <c r="M27" i="15"/>
  <c r="F9" i="15"/>
  <c r="M8" i="15"/>
  <c r="M29" i="15"/>
  <c r="F9" i="67"/>
  <c r="C76" i="67"/>
  <c r="F37" i="67"/>
  <c r="M23" i="67"/>
  <c r="M22" i="67"/>
  <c r="F8" i="67"/>
  <c r="M26" i="67"/>
  <c r="F26" i="67"/>
  <c r="F6" i="67"/>
  <c r="F36" i="67"/>
  <c r="M6" i="67"/>
  <c r="F16" i="67"/>
  <c r="J15" i="67"/>
  <c r="M24" i="67"/>
  <c r="F42" i="67"/>
  <c r="F43" i="15"/>
  <c r="F40" i="15"/>
  <c r="F42" i="15"/>
  <c r="F13" i="15"/>
  <c r="M28" i="15"/>
  <c r="F38" i="15"/>
  <c r="M9" i="15"/>
  <c r="M6" i="15"/>
  <c r="L47" i="15"/>
  <c r="M23" i="15"/>
  <c r="M26" i="15"/>
  <c r="M22" i="15"/>
  <c r="L48" i="15"/>
  <c r="M9" i="67"/>
  <c r="L47" i="67"/>
  <c r="M21" i="67"/>
  <c r="M27" i="67"/>
  <c r="F43" i="67"/>
  <c r="L48" i="67"/>
  <c r="F38" i="67"/>
  <c r="F13" i="67"/>
  <c r="F35" i="67"/>
  <c r="M8" i="67"/>
  <c r="F7" i="67"/>
  <c r="F41" i="67"/>
  <c r="M28" i="67"/>
  <c r="F40" i="67"/>
  <c r="M29" i="67"/>
  <c r="D113" i="43" l="1"/>
  <c r="M16" i="1"/>
  <c r="N16" i="1" s="1"/>
  <c r="P28" i="43"/>
  <c r="F22" i="69"/>
  <c r="C26" i="69" s="1"/>
  <c r="D22" i="69" s="1"/>
  <c r="M28" i="43"/>
  <c r="F22" i="11"/>
  <c r="C26" i="11" s="1"/>
  <c r="D22" i="11" s="1"/>
  <c r="F24" i="67"/>
  <c r="C24" i="67" s="1"/>
  <c r="O28" i="43"/>
  <c r="C35" i="69"/>
  <c r="F68" i="67"/>
  <c r="F69" i="67"/>
  <c r="F50" i="67"/>
  <c r="M7" i="67"/>
  <c r="J6" i="67" s="1"/>
  <c r="J18" i="67" s="1"/>
  <c r="F63" i="67"/>
  <c r="C62" i="67" s="1"/>
  <c r="C34" i="67"/>
  <c r="F66" i="67"/>
  <c r="J53" i="67"/>
  <c r="L56" i="67"/>
  <c r="J57" i="67"/>
  <c r="J55" i="67" s="1"/>
  <c r="J58" i="67" s="1"/>
  <c r="Q50" i="67" s="1"/>
  <c r="I54" i="67"/>
  <c r="F71" i="67"/>
  <c r="J20" i="67"/>
  <c r="L58" i="67"/>
  <c r="N59" i="67"/>
  <c r="M59" i="67"/>
  <c r="L59" i="67"/>
  <c r="J57" i="15"/>
  <c r="J55" i="15" s="1"/>
  <c r="J58" i="15" s="1"/>
  <c r="Q50" i="15" s="1"/>
  <c r="L60" i="15"/>
  <c r="J59" i="15"/>
  <c r="L56" i="15"/>
  <c r="J53" i="15"/>
  <c r="L57" i="15"/>
  <c r="J60" i="15"/>
  <c r="Q48" i="15" s="1"/>
  <c r="I54" i="15"/>
  <c r="L46" i="15"/>
  <c r="N59" i="15"/>
  <c r="M59" i="15"/>
  <c r="L58" i="15"/>
  <c r="L59" i="15"/>
  <c r="F66" i="15"/>
  <c r="F68" i="15"/>
  <c r="F71" i="15"/>
  <c r="F70" i="67"/>
  <c r="F64" i="67"/>
  <c r="C6" i="67"/>
  <c r="C32" i="67" s="1"/>
  <c r="C27" i="67"/>
  <c r="F51" i="67"/>
  <c r="F65" i="67"/>
  <c r="Q71" i="67"/>
  <c r="F64" i="15"/>
  <c r="C27" i="15"/>
  <c r="M7" i="15"/>
  <c r="J6" i="15" s="1"/>
  <c r="J18" i="15" s="1"/>
  <c r="F50" i="15"/>
  <c r="F51" i="15"/>
  <c r="Q71" i="15"/>
  <c r="F65" i="15"/>
  <c r="E3" i="6"/>
  <c r="M18" i="9" s="1"/>
  <c r="B118" i="9" s="1"/>
  <c r="B14" i="74" s="1"/>
  <c r="B1" i="74" s="1"/>
  <c r="C7" i="74" s="1"/>
  <c r="AY6" i="3"/>
  <c r="J5" i="67"/>
  <c r="J24" i="67" s="1"/>
  <c r="J65" i="40"/>
  <c r="K63" i="40"/>
  <c r="W7" i="33"/>
  <c r="AC7" i="33"/>
  <c r="V48" i="33" s="1"/>
  <c r="I48" i="33" s="1"/>
  <c r="AB7" i="35"/>
  <c r="T38" i="35" s="1"/>
  <c r="G38" i="35" s="1"/>
  <c r="U7" i="35"/>
  <c r="I40" i="36"/>
  <c r="J40" i="36" s="1"/>
  <c r="I46" i="37"/>
  <c r="J46" i="37" s="1"/>
  <c r="K21" i="6"/>
  <c r="M21" i="6" s="1"/>
  <c r="I21" i="6" s="1"/>
  <c r="S21" i="6" s="1"/>
  <c r="K22" i="6"/>
  <c r="M22" i="6" s="1"/>
  <c r="I22" i="6" s="1"/>
  <c r="S22" i="6" s="1"/>
  <c r="K23" i="6"/>
  <c r="M23" i="6" s="1"/>
  <c r="I23" i="6" s="1"/>
  <c r="S23" i="6" s="1"/>
  <c r="K19" i="6"/>
  <c r="E31" i="6"/>
  <c r="K26" i="6"/>
  <c r="M26" i="6" s="1"/>
  <c r="I26" i="6" s="1"/>
  <c r="S26" i="6" s="1"/>
  <c r="K25" i="6"/>
  <c r="M25" i="6" s="1"/>
  <c r="I25" i="6" s="1"/>
  <c r="S25" i="6" s="1"/>
  <c r="K16" i="1"/>
  <c r="G46" i="37"/>
  <c r="H46" i="37" s="1"/>
  <c r="G47" i="37"/>
  <c r="H47" i="37" s="1"/>
  <c r="S7" i="33"/>
  <c r="AA7" i="33"/>
  <c r="R48" i="33" s="1"/>
  <c r="R39" i="35"/>
  <c r="E38" i="35"/>
  <c r="K20" i="6"/>
  <c r="R37" i="36"/>
  <c r="E36" i="36"/>
  <c r="E59" i="43"/>
  <c r="B57" i="43" s="1"/>
  <c r="C24" i="43" s="1"/>
  <c r="N52" i="71"/>
  <c r="N53" i="71"/>
  <c r="S34" i="79"/>
  <c r="AA34" i="79"/>
  <c r="AA34" i="34"/>
  <c r="S34" i="34"/>
  <c r="H6" i="3"/>
  <c r="D5" i="71"/>
  <c r="AB7" i="33"/>
  <c r="T48" i="33" s="1"/>
  <c r="G48" i="33" s="1"/>
  <c r="U7" i="33"/>
  <c r="AC7" i="35"/>
  <c r="V38" i="35" s="1"/>
  <c r="I38" i="35" s="1"/>
  <c r="W7" i="35"/>
  <c r="R49" i="21"/>
  <c r="E48" i="21"/>
  <c r="T19" i="71"/>
  <c r="D19" i="71"/>
  <c r="M20" i="43" s="1"/>
  <c r="C19" i="43" s="1"/>
  <c r="C8" i="74"/>
  <c r="G52" i="21"/>
  <c r="H52" i="21" s="1"/>
  <c r="G53" i="21"/>
  <c r="H53" i="21" s="1"/>
  <c r="E70" i="39"/>
  <c r="F68" i="39"/>
  <c r="K24" i="6"/>
  <c r="M24" i="6" s="1"/>
  <c r="I24" i="6" s="1"/>
  <c r="S24" i="6" s="1"/>
  <c r="G40" i="36"/>
  <c r="H40" i="36" s="1"/>
  <c r="G41" i="36"/>
  <c r="H41" i="36" s="1"/>
  <c r="I52" i="21"/>
  <c r="J52" i="21" s="1"/>
  <c r="I53" i="21"/>
  <c r="J53" i="21" s="1"/>
  <c r="R43" i="37"/>
  <c r="E42" i="37"/>
  <c r="I47" i="37" s="1"/>
  <c r="J47" i="37" s="1"/>
  <c r="G7" i="79"/>
  <c r="F7" i="79"/>
  <c r="T27" i="71"/>
  <c r="D27" i="71"/>
  <c r="M19" i="43" s="1"/>
  <c r="AB34" i="79"/>
  <c r="U34" i="79"/>
  <c r="AB34" i="34"/>
  <c r="T49" i="34" s="1"/>
  <c r="G49" i="34" s="1"/>
  <c r="U34" i="34"/>
  <c r="F22" i="68"/>
  <c r="C26" i="68" s="1"/>
  <c r="D22" i="68" s="1"/>
  <c r="F25" i="12"/>
  <c r="C26" i="12" s="1"/>
  <c r="D25" i="12" s="1"/>
  <c r="AB37" i="79"/>
  <c r="U37" i="79"/>
  <c r="AC37" i="79"/>
  <c r="W37" i="79"/>
  <c r="AA37" i="34"/>
  <c r="R49" i="34" s="1"/>
  <c r="E49" i="34" s="1"/>
  <c r="E53" i="34" s="1"/>
  <c r="F53" i="34" s="1"/>
  <c r="S37" i="34"/>
  <c r="AC37" i="34"/>
  <c r="V49" i="34" s="1"/>
  <c r="W37" i="34"/>
  <c r="E6" i="3"/>
  <c r="AC10" i="39"/>
  <c r="W10" i="39"/>
  <c r="AC10" i="40"/>
  <c r="W10" i="40"/>
  <c r="C47" i="69"/>
  <c r="D45" i="69" s="1"/>
  <c r="C29" i="69"/>
  <c r="D27" i="69" s="1"/>
  <c r="AB10" i="39"/>
  <c r="U10" i="39"/>
  <c r="AA10" i="39"/>
  <c r="S10" i="39"/>
  <c r="C47" i="11"/>
  <c r="D45" i="11" s="1"/>
  <c r="C29" i="11"/>
  <c r="D27" i="11" s="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s="1"/>
  <c r="C20" i="11" s="1"/>
  <c r="C28" i="11" s="1"/>
  <c r="C27" i="11" s="1"/>
  <c r="D37" i="11"/>
  <c r="C37" i="11" s="1"/>
  <c r="D3" i="37"/>
  <c r="E6" i="6"/>
  <c r="D14" i="12"/>
  <c r="D3" i="21"/>
  <c r="C17" i="4"/>
  <c r="B4" i="52" s="1"/>
  <c r="B43" i="72" s="1"/>
  <c r="C20" i="43"/>
  <c r="E41" i="43"/>
  <c r="C41" i="43" s="1"/>
  <c r="C53" i="67"/>
  <c r="C10" i="67"/>
  <c r="C14" i="67"/>
  <c r="C17" i="67"/>
  <c r="C16" i="67"/>
  <c r="C16" i="15"/>
  <c r="J26" i="67" l="1"/>
  <c r="J29" i="67" s="1"/>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s="1"/>
  <c r="C34"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s="1"/>
  <c r="S20" i="6" s="1"/>
  <c r="S7" i="1"/>
  <c r="C5" i="67"/>
  <c r="C38" i="67" s="1"/>
  <c r="C44" i="69"/>
  <c r="D41" i="69" s="1"/>
  <c r="C23" i="11"/>
  <c r="C44" i="68"/>
  <c r="D41" i="68" s="1"/>
  <c r="C49" i="15"/>
  <c r="C48" i="15" s="1"/>
  <c r="C66" i="15" s="1"/>
  <c r="C49" i="67"/>
  <c r="C48" i="67" s="1"/>
  <c r="C15" i="67"/>
  <c r="C18" i="67"/>
  <c r="G53" i="34"/>
  <c r="H53" i="34" s="1"/>
  <c r="E54" i="34"/>
  <c r="F54" i="34" s="1"/>
  <c r="C24" i="11"/>
  <c r="I7" i="79"/>
  <c r="J7" i="79" s="1"/>
  <c r="H7" i="79"/>
  <c r="C42" i="37"/>
  <c r="C43" i="37"/>
  <c r="B2" i="37" s="1"/>
  <c r="B3" i="37" s="1"/>
  <c r="G68" i="39"/>
  <c r="F70" i="39"/>
  <c r="C49" i="21"/>
  <c r="B2" i="21" s="1"/>
  <c r="B3" i="21" s="1"/>
  <c r="C48" i="21"/>
  <c r="I43" i="35"/>
  <c r="J43" i="35" s="1"/>
  <c r="I42" i="35"/>
  <c r="J42" i="35" s="1"/>
  <c r="G52" i="33"/>
  <c r="H52" i="33" s="1"/>
  <c r="G53" i="33"/>
  <c r="H53" i="33" s="1"/>
  <c r="E40" i="36"/>
  <c r="F40" i="36" s="1"/>
  <c r="E41" i="36"/>
  <c r="F41" i="36" s="1"/>
  <c r="C39" i="35"/>
  <c r="B2" i="35" s="1"/>
  <c r="B3" i="35" s="1"/>
  <c r="C38" i="35"/>
  <c r="I41" i="36"/>
  <c r="J41" i="36" s="1"/>
  <c r="G42" i="35"/>
  <c r="H42" i="35" s="1"/>
  <c r="G43" i="35"/>
  <c r="H43" i="35" s="1"/>
  <c r="J10" i="15"/>
  <c r="J5" i="15" s="1"/>
  <c r="Q73" i="15"/>
  <c r="Q60" i="15"/>
  <c r="Q57" i="15"/>
  <c r="Q66" i="15"/>
  <c r="Q74" i="67"/>
  <c r="Q61" i="67"/>
  <c r="F1" i="67"/>
  <c r="Q52" i="67"/>
  <c r="AA7" i="79"/>
  <c r="R49" i="79" s="1"/>
  <c r="E49" i="79" s="1"/>
  <c r="S7" i="79"/>
  <c r="E47" i="37"/>
  <c r="F47" i="37" s="1"/>
  <c r="E46" i="37"/>
  <c r="F46" i="37" s="1"/>
  <c r="E52" i="21"/>
  <c r="F52" i="21" s="1"/>
  <c r="E53" i="21"/>
  <c r="F53" i="21" s="1"/>
  <c r="C36" i="36"/>
  <c r="C37" i="36"/>
  <c r="B2" i="36" s="1"/>
  <c r="B3" i="36" s="1"/>
  <c r="E43" i="35"/>
  <c r="F43" i="35" s="1"/>
  <c r="E42" i="35"/>
  <c r="F42" i="35" s="1"/>
  <c r="E48" i="33"/>
  <c r="R49" i="33"/>
  <c r="S6" i="1"/>
  <c r="M19" i="6"/>
  <c r="K27" i="6"/>
  <c r="I52" i="33"/>
  <c r="J52" i="33" s="1"/>
  <c r="I53" i="33"/>
  <c r="J53" i="33" s="1"/>
  <c r="K65" i="40"/>
  <c r="L63" i="40"/>
  <c r="Q61" i="15"/>
  <c r="Q74" i="15"/>
  <c r="F1" i="15"/>
  <c r="Q52" i="15"/>
  <c r="Q60" i="67"/>
  <c r="Q73" i="67"/>
  <c r="I49" i="34"/>
  <c r="R50" i="34"/>
  <c r="C60" i="15"/>
  <c r="C38" i="11"/>
  <c r="C35" i="11"/>
  <c r="C25" i="11"/>
  <c r="D10" i="11"/>
  <c r="C10" i="11" s="1"/>
  <c r="D20" i="12"/>
  <c r="C20" i="12" s="1"/>
  <c r="C18" i="12" s="1"/>
  <c r="D10" i="69"/>
  <c r="D19" i="6"/>
  <c r="M19" i="81" s="1"/>
  <c r="C118" i="81" s="1"/>
  <c r="H20" i="6"/>
  <c r="D25" i="6"/>
  <c r="D15" i="6"/>
  <c r="D22" i="6"/>
  <c r="D21" i="6"/>
  <c r="D24" i="6"/>
  <c r="D20" i="6"/>
  <c r="R20" i="6" s="1"/>
  <c r="R7" i="1" s="1"/>
  <c r="D5" i="6"/>
  <c r="D12" i="6"/>
  <c r="D11" i="6"/>
  <c r="D13" i="6"/>
  <c r="D29" i="6"/>
  <c r="H25" i="6"/>
  <c r="H23" i="6"/>
  <c r="H26" i="6"/>
  <c r="D26" i="6"/>
  <c r="C18" i="4"/>
  <c r="D8" i="6"/>
  <c r="D23" i="6"/>
  <c r="D14" i="6"/>
  <c r="D6" i="6"/>
  <c r="D9" i="6"/>
  <c r="D10" i="6"/>
  <c r="D28" i="6"/>
  <c r="D30" i="6" s="1"/>
  <c r="E61" i="40"/>
  <c r="H22" i="6"/>
  <c r="H21" i="6"/>
  <c r="H24" i="6"/>
  <c r="D17" i="12"/>
  <c r="C17" i="12" s="1"/>
  <c r="C14" i="12"/>
  <c r="C16" i="12" s="1"/>
  <c r="C29" i="43"/>
  <c r="C33" i="43"/>
  <c r="C34" i="43"/>
  <c r="C35" i="43"/>
  <c r="C36" i="43"/>
  <c r="C37" i="43"/>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T14" i="43"/>
  <c r="V14" i="43" s="1"/>
  <c r="C38" i="43"/>
  <c r="C39" i="43"/>
  <c r="AE6" i="1"/>
  <c r="F41" i="15" s="1"/>
  <c r="C17" i="15"/>
  <c r="D10" i="68"/>
  <c r="AQ7" i="1" l="1"/>
  <c r="AR7" i="1"/>
  <c r="T7" i="1"/>
  <c r="C22" i="11"/>
  <c r="C31" i="11" s="1"/>
  <c r="C19" i="67"/>
  <c r="C20" i="67" s="1"/>
  <c r="C66" i="67"/>
  <c r="C60" i="67"/>
  <c r="C10" i="68"/>
  <c r="D19" i="68"/>
  <c r="D37" i="68" s="1"/>
  <c r="C37" i="68" s="1"/>
  <c r="F69" i="15"/>
  <c r="L65" i="40"/>
  <c r="M63" i="40"/>
  <c r="AQ6" i="1"/>
  <c r="T6" i="1"/>
  <c r="S16" i="1"/>
  <c r="AR6" i="1"/>
  <c r="E6" i="70"/>
  <c r="E2" i="70" s="1"/>
  <c r="E53" i="33"/>
  <c r="F53" i="33" s="1"/>
  <c r="E52" i="33"/>
  <c r="F52" i="33" s="1"/>
  <c r="G70" i="39"/>
  <c r="H68" i="39"/>
  <c r="AC7" i="79"/>
  <c r="V49" i="79" s="1"/>
  <c r="I49" i="79" s="1"/>
  <c r="W7" i="79"/>
  <c r="I19" i="6"/>
  <c r="L18" i="81" s="1"/>
  <c r="M27" i="6"/>
  <c r="C49" i="33"/>
  <c r="B2" i="33" s="1"/>
  <c r="B3" i="33" s="1"/>
  <c r="C48" i="33"/>
  <c r="E53" i="79"/>
  <c r="F53" i="79" s="1"/>
  <c r="J26" i="15"/>
  <c r="J29" i="15" s="1"/>
  <c r="J24" i="15"/>
  <c r="AB7" i="79"/>
  <c r="T49" i="79" s="1"/>
  <c r="U7" i="79"/>
  <c r="C49" i="34"/>
  <c r="C50" i="34"/>
  <c r="G54" i="34"/>
  <c r="H54" i="34" s="1"/>
  <c r="I53" i="34"/>
  <c r="J53" i="34" s="1"/>
  <c r="I54" i="34"/>
  <c r="J54" i="34" s="1"/>
  <c r="R23" i="6"/>
  <c r="C33" i="11"/>
  <c r="C39" i="11" s="1"/>
  <c r="C4" i="52"/>
  <c r="B45" i="72" s="1"/>
  <c r="A7" i="51"/>
  <c r="B7" i="72" s="1"/>
  <c r="A10" i="51"/>
  <c r="B9" i="72" s="1"/>
  <c r="R21" i="6"/>
  <c r="C21" i="12"/>
  <c r="D16" i="6"/>
  <c r="R26" i="6"/>
  <c r="R24" i="6"/>
  <c r="R22" i="6"/>
  <c r="R25" i="6"/>
  <c r="M19" i="9"/>
  <c r="C118" i="9" s="1"/>
  <c r="C14" i="74" s="1"/>
  <c r="B2" i="74" s="1"/>
  <c r="D27" i="6"/>
  <c r="D31" i="6" s="1"/>
  <c r="C10" i="69"/>
  <c r="C8" i="69" s="1"/>
  <c r="C5" i="69" s="1"/>
  <c r="D19" i="69"/>
  <c r="E39" i="43"/>
  <c r="G39" i="43"/>
  <c r="I39" i="43" s="1"/>
  <c r="E38" i="43"/>
  <c r="G38" i="43"/>
  <c r="I38" i="43" s="1"/>
  <c r="E36" i="43"/>
  <c r="G36" i="43"/>
  <c r="I36" i="43" s="1"/>
  <c r="E34" i="43"/>
  <c r="G34" i="43"/>
  <c r="I34" i="43" s="1"/>
  <c r="E29" i="43"/>
  <c r="C30" i="43"/>
  <c r="E30" i="43" s="1"/>
  <c r="E37" i="43"/>
  <c r="G37" i="43"/>
  <c r="I37" i="43" s="1"/>
  <c r="E35" i="43"/>
  <c r="G35" i="43"/>
  <c r="I35" i="43" s="1"/>
  <c r="E33" i="43"/>
  <c r="G33" i="43"/>
  <c r="I33" i="43" s="1"/>
  <c r="C34" i="68"/>
  <c r="C14" i="15"/>
  <c r="C23" i="67" l="1"/>
  <c r="C26" i="67"/>
  <c r="C18" i="15"/>
  <c r="C15" i="15"/>
  <c r="C38" i="68"/>
  <c r="C35" i="68"/>
  <c r="G49" i="79"/>
  <c r="R50" i="79"/>
  <c r="I27" i="6"/>
  <c r="H19" i="6"/>
  <c r="L19" i="81" s="1"/>
  <c r="S19" i="6"/>
  <c r="S27" i="6" s="1"/>
  <c r="L18" i="9"/>
  <c r="I54" i="79"/>
  <c r="J54" i="79" s="1"/>
  <c r="I53" i="79"/>
  <c r="J53" i="79" s="1"/>
  <c r="T16" i="1"/>
  <c r="M65" i="40"/>
  <c r="N63" i="40"/>
  <c r="H70" i="39"/>
  <c r="I68" i="39"/>
  <c r="B2" i="34"/>
  <c r="B3" i="34"/>
  <c r="C42" i="11"/>
  <c r="C19" i="69"/>
  <c r="C24" i="69" s="1"/>
  <c r="D37" i="69"/>
  <c r="C37" i="69" s="1"/>
  <c r="C33" i="69" s="1"/>
  <c r="I5" i="6"/>
  <c r="I6" i="6"/>
  <c r="C23" i="69"/>
  <c r="D7" i="74"/>
  <c r="D8" i="74"/>
  <c r="C22" i="12"/>
  <c r="C30" i="12" s="1"/>
  <c r="C28" i="12" s="1"/>
  <c r="C46" i="11"/>
  <c r="C45" i="11" s="1"/>
  <c r="C43" i="11"/>
  <c r="C27" i="43"/>
  <c r="C26" i="43"/>
  <c r="D20" i="81"/>
  <c r="D19" i="81"/>
  <c r="D19" i="9"/>
  <c r="D20" i="9"/>
  <c r="E6" i="76"/>
  <c r="D102" i="81" l="1"/>
  <c r="D21" i="81"/>
  <c r="D103" i="81"/>
  <c r="C19" i="15"/>
  <c r="C20" i="15" s="1"/>
  <c r="C23" i="15" s="1"/>
  <c r="C29" i="67"/>
  <c r="C57" i="67" s="1"/>
  <c r="C33" i="68"/>
  <c r="C39" i="68" s="1"/>
  <c r="C43" i="68" s="1"/>
  <c r="I70" i="39"/>
  <c r="J68" i="39"/>
  <c r="O63" i="40"/>
  <c r="O65" i="40" s="1"/>
  <c r="N65" i="40"/>
  <c r="L19" i="9"/>
  <c r="D21" i="9" s="1"/>
  <c r="R19" i="6"/>
  <c r="H27" i="6"/>
  <c r="C49" i="79"/>
  <c r="C50" i="79"/>
  <c r="J7" i="40"/>
  <c r="F7" i="40"/>
  <c r="H7" i="40"/>
  <c r="G53" i="79"/>
  <c r="H53" i="79" s="1"/>
  <c r="G54" i="79"/>
  <c r="H54" i="79" s="1"/>
  <c r="E54" i="79"/>
  <c r="F54" i="79" s="1"/>
  <c r="D102" i="9"/>
  <c r="D103" i="9"/>
  <c r="C41" i="11"/>
  <c r="C49" i="11" s="1"/>
  <c r="C51" i="11" s="1"/>
  <c r="C27" i="12"/>
  <c r="C25" i="12" s="1"/>
  <c r="C32" i="12" s="1"/>
  <c r="B2" i="12" s="1"/>
  <c r="B3" i="12" s="1"/>
  <c r="C20" i="69"/>
  <c r="C39" i="69"/>
  <c r="C42" i="69"/>
  <c r="E2" i="76"/>
  <c r="B2" i="43"/>
  <c r="B6" i="76"/>
  <c r="J19" i="67" l="1"/>
  <c r="J17" i="67" s="1"/>
  <c r="J14" i="67"/>
  <c r="J22" i="67" s="1"/>
  <c r="C33" i="67"/>
  <c r="C31" i="67" s="1"/>
  <c r="Q49" i="67"/>
  <c r="J59" i="67"/>
  <c r="J60" i="67" s="1"/>
  <c r="L46" i="67" s="1"/>
  <c r="C42" i="68"/>
  <c r="C41" i="68" s="1"/>
  <c r="C46" i="68"/>
  <c r="C45" i="68" s="1"/>
  <c r="C36" i="67"/>
  <c r="C13" i="67"/>
  <c r="J13" i="67"/>
  <c r="J23" i="67" s="1"/>
  <c r="C64" i="67"/>
  <c r="C61" i="67"/>
  <c r="C59" i="67" s="1"/>
  <c r="C26" i="15"/>
  <c r="C29" i="15" s="1"/>
  <c r="AB7" i="40"/>
  <c r="T42" i="40" s="1"/>
  <c r="G42" i="40" s="1"/>
  <c r="U7" i="40"/>
  <c r="AC7" i="40"/>
  <c r="V42" i="40" s="1"/>
  <c r="I42" i="40" s="1"/>
  <c r="W7" i="40"/>
  <c r="R6" i="1"/>
  <c r="R27" i="6"/>
  <c r="AA7" i="40"/>
  <c r="R42" i="40" s="1"/>
  <c r="S7" i="40"/>
  <c r="U6" i="1"/>
  <c r="B2" i="79"/>
  <c r="B3" i="79"/>
  <c r="J70" i="39"/>
  <c r="K68" i="39"/>
  <c r="C28" i="69"/>
  <c r="C27" i="69" s="1"/>
  <c r="C25" i="69"/>
  <c r="C22" i="69" s="1"/>
  <c r="C52" i="11"/>
  <c r="B2" i="11" s="1"/>
  <c r="B3" i="11" s="1"/>
  <c r="C46" i="69"/>
  <c r="C45" i="69" s="1"/>
  <c r="C43" i="69"/>
  <c r="C41" i="69" s="1"/>
  <c r="B2" i="76"/>
  <c r="B3" i="76" s="1"/>
  <c r="C6" i="68"/>
  <c r="B3" i="43"/>
  <c r="F35" i="15"/>
  <c r="M21" i="15"/>
  <c r="F6" i="15"/>
  <c r="Q48" i="67" l="1"/>
  <c r="C49" i="68"/>
  <c r="C51" i="68" s="1"/>
  <c r="C37" i="67"/>
  <c r="C30" i="67" s="1"/>
  <c r="C39" i="67" s="1"/>
  <c r="Q70" i="67"/>
  <c r="C56" i="67"/>
  <c r="C65" i="67" s="1"/>
  <c r="C75" i="67"/>
  <c r="C58" i="67"/>
  <c r="C67" i="67" s="1"/>
  <c r="C68" i="67" s="1"/>
  <c r="C71" i="67" s="1"/>
  <c r="J16" i="67"/>
  <c r="J25" i="67" s="1"/>
  <c r="C6" i="15"/>
  <c r="J20" i="15"/>
  <c r="C34" i="15"/>
  <c r="F63" i="15"/>
  <c r="C62" i="15" s="1"/>
  <c r="K70" i="39"/>
  <c r="L68" i="39"/>
  <c r="R43" i="40"/>
  <c r="E42" i="40"/>
  <c r="I47" i="40" s="1"/>
  <c r="J47" i="40" s="1"/>
  <c r="R16" i="1"/>
  <c r="I46" i="40"/>
  <c r="J46" i="40" s="1"/>
  <c r="G46" i="40"/>
  <c r="H46" i="40" s="1"/>
  <c r="G47" i="40"/>
  <c r="H47" i="40" s="1"/>
  <c r="C57" i="15"/>
  <c r="C36" i="15"/>
  <c r="C13" i="15"/>
  <c r="J14" i="15"/>
  <c r="J19" i="15"/>
  <c r="Q49" i="15"/>
  <c r="C49" i="69"/>
  <c r="C51" i="69" s="1"/>
  <c r="C56" i="11"/>
  <c r="C57" i="11" s="1"/>
  <c r="C31" i="69"/>
  <c r="C7" i="68"/>
  <c r="C5" i="68" s="1"/>
  <c r="L51" i="67"/>
  <c r="J17" i="15" l="1"/>
  <c r="C80" i="67"/>
  <c r="C79" i="67" s="1"/>
  <c r="Q67" i="67"/>
  <c r="L57" i="67"/>
  <c r="L60" i="67" s="1"/>
  <c r="C40" i="67"/>
  <c r="Q69" i="67"/>
  <c r="Q68" i="67" s="1"/>
  <c r="J13" i="15"/>
  <c r="J23" i="15" s="1"/>
  <c r="J22" i="15"/>
  <c r="C37" i="15"/>
  <c r="Q70" i="15"/>
  <c r="C56" i="15"/>
  <c r="C65" i="15" s="1"/>
  <c r="C75" i="15"/>
  <c r="C61" i="15"/>
  <c r="C59" i="15" s="1"/>
  <c r="C64" i="15"/>
  <c r="E47" i="40"/>
  <c r="F47" i="40" s="1"/>
  <c r="E46" i="40"/>
  <c r="F46" i="40" s="1"/>
  <c r="L70" i="39"/>
  <c r="M68" i="39"/>
  <c r="C42" i="40"/>
  <c r="C43" i="40"/>
  <c r="C32" i="15"/>
  <c r="C33" i="15"/>
  <c r="C10" i="15"/>
  <c r="C5" i="15" s="1"/>
  <c r="C38" i="15" s="1"/>
  <c r="C52" i="69"/>
  <c r="B2" i="69" s="1"/>
  <c r="B3" i="69" s="1"/>
  <c r="C20" i="68"/>
  <c r="C25" i="68" s="1"/>
  <c r="C23" i="68"/>
  <c r="Q56" i="67" l="1"/>
  <c r="C43" i="67"/>
  <c r="Q65" i="67"/>
  <c r="D2" i="67"/>
  <c r="Q47" i="67"/>
  <c r="Q53" i="67" s="1"/>
  <c r="C83" i="67"/>
  <c r="C82" i="67" s="1"/>
  <c r="C45" i="67"/>
  <c r="C46" i="67" s="1"/>
  <c r="J16" i="15"/>
  <c r="J25" i="15" s="1"/>
  <c r="Q57" i="67"/>
  <c r="Q62" i="67" s="1"/>
  <c r="Q66" i="67"/>
  <c r="C31" i="15"/>
  <c r="C58" i="15"/>
  <c r="C67" i="15" s="1"/>
  <c r="C68" i="15" s="1"/>
  <c r="C71" i="15" s="1"/>
  <c r="C30" i="15"/>
  <c r="C39" i="15" s="1"/>
  <c r="B57" i="40"/>
  <c r="F57" i="40" s="1"/>
  <c r="B53" i="40"/>
  <c r="F53" i="40" s="1"/>
  <c r="B51" i="40"/>
  <c r="F51" i="40" s="1"/>
  <c r="B59" i="40"/>
  <c r="F59" i="40" s="1"/>
  <c r="B52" i="40"/>
  <c r="F52" i="40" s="1"/>
  <c r="B55" i="40"/>
  <c r="F55" i="40" s="1"/>
  <c r="B56" i="40"/>
  <c r="F56" i="40" s="1"/>
  <c r="B58" i="40"/>
  <c r="F58" i="40" s="1"/>
  <c r="B60" i="40"/>
  <c r="F60" i="40" s="1"/>
  <c r="B54" i="40"/>
  <c r="F54" i="40" s="1"/>
  <c r="F61" i="40"/>
  <c r="B2" i="40" s="1"/>
  <c r="B3" i="40" s="1"/>
  <c r="M70" i="39"/>
  <c r="N68" i="39"/>
  <c r="C80" i="15"/>
  <c r="C79" i="15" s="1"/>
  <c r="C57" i="69"/>
  <c r="C56" i="69" s="1"/>
  <c r="C22" i="68"/>
  <c r="C28" i="68"/>
  <c r="C27" i="68" s="1"/>
  <c r="Q75" i="67" l="1"/>
  <c r="B2" i="67"/>
  <c r="B3" i="67"/>
  <c r="O68" i="39"/>
  <c r="O70" i="39" s="1"/>
  <c r="N70" i="39"/>
  <c r="C40" i="15"/>
  <c r="Q69" i="15"/>
  <c r="Q68" i="15" s="1"/>
  <c r="C31" i="68"/>
  <c r="C52" i="68" s="1"/>
  <c r="B2" i="68" s="1"/>
  <c r="L51" i="15"/>
  <c r="B3" i="68"/>
  <c r="Q67" i="15" l="1"/>
  <c r="B2" i="15"/>
  <c r="C43" i="15"/>
  <c r="Q56" i="15"/>
  <c r="Q62" i="15" s="1"/>
  <c r="C46" i="15"/>
  <c r="Q47" i="15"/>
  <c r="Q53" i="15" s="1"/>
  <c r="Q65" i="15"/>
  <c r="Q75" i="15" s="1"/>
  <c r="C83" i="15"/>
  <c r="C82" i="15" s="1"/>
  <c r="F7" i="39"/>
  <c r="H7" i="39"/>
  <c r="J7" i="39"/>
  <c r="C57" i="68"/>
  <c r="C56" i="68" s="1"/>
  <c r="C19" i="81"/>
  <c r="AO6" i="1"/>
  <c r="C102" i="81" l="1"/>
  <c r="D22" i="81"/>
  <c r="C21" i="81"/>
  <c r="G19" i="81"/>
  <c r="B6" i="70"/>
  <c r="B2" i="70" s="1"/>
  <c r="B3" i="70" s="1"/>
  <c r="AB7" i="39"/>
  <c r="T47" i="39" s="1"/>
  <c r="G47" i="39" s="1"/>
  <c r="U7" i="39"/>
  <c r="B3" i="15"/>
  <c r="AC7" i="39"/>
  <c r="V47" i="39" s="1"/>
  <c r="I47" i="39" s="1"/>
  <c r="W7" i="39"/>
  <c r="S7" i="39"/>
  <c r="AA7" i="39"/>
  <c r="R47" i="39" s="1"/>
  <c r="C20" i="81"/>
  <c r="G20" i="81" l="1"/>
  <c r="R24" i="31" s="1"/>
  <c r="C103" i="81"/>
  <c r="C32" i="81"/>
  <c r="G21" i="81"/>
  <c r="E47" i="39"/>
  <c r="I52" i="39" s="1"/>
  <c r="J52" i="39" s="1"/>
  <c r="R48" i="39"/>
  <c r="G51" i="39"/>
  <c r="H51" i="39" s="1"/>
  <c r="G52" i="39"/>
  <c r="H52" i="39" s="1"/>
  <c r="I51" i="39"/>
  <c r="J51" i="39" s="1"/>
  <c r="C35" i="81" l="1"/>
  <c r="F118" i="81" s="1"/>
  <c r="H118" i="81"/>
  <c r="C47" i="39"/>
  <c r="C48" i="39"/>
  <c r="E51" i="39"/>
  <c r="F51" i="39" s="1"/>
  <c r="E52" i="39"/>
  <c r="F52" i="39" s="1"/>
  <c r="C34" i="81" l="1"/>
  <c r="D118" i="81" s="1"/>
  <c r="D119" i="81" s="1"/>
  <c r="I118" i="81"/>
  <c r="C104" i="81"/>
  <c r="H119" i="81"/>
  <c r="H101" i="81"/>
  <c r="F119" i="81"/>
  <c r="G118" i="81"/>
  <c r="B56" i="39"/>
  <c r="F56" i="39" s="1"/>
  <c r="F66" i="39" s="1"/>
  <c r="B2" i="39" s="1"/>
  <c r="B3" i="39" s="1"/>
  <c r="B62" i="39"/>
  <c r="F62" i="39" s="1"/>
  <c r="B60" i="39"/>
  <c r="F60" i="39" s="1"/>
  <c r="B57" i="39"/>
  <c r="F57" i="39" s="1"/>
  <c r="B63" i="39"/>
  <c r="F63" i="39" s="1"/>
  <c r="B59" i="39"/>
  <c r="F59" i="39" s="1"/>
  <c r="B61" i="39"/>
  <c r="F61" i="39" s="1"/>
  <c r="B64" i="39"/>
  <c r="F64" i="39" s="1"/>
  <c r="B65" i="39"/>
  <c r="F65" i="39" s="1"/>
  <c r="B58" i="39"/>
  <c r="F58" i="39" s="1"/>
  <c r="D45" i="81" l="1"/>
  <c r="M48" i="81"/>
  <c r="H107" i="81"/>
  <c r="E118" i="81"/>
  <c r="C105" i="81"/>
  <c r="H102" i="81"/>
  <c r="D122" i="81" l="1"/>
  <c r="D123" i="81" s="1"/>
  <c r="H108" i="81"/>
  <c r="M49" i="81"/>
  <c r="C78" i="81"/>
  <c r="C73" i="81" s="1"/>
  <c r="D52" i="81"/>
  <c r="C93" i="81"/>
  <c r="C86" i="81" s="1"/>
  <c r="C85" i="81"/>
  <c r="C72" i="81"/>
  <c r="C79" i="81" s="1"/>
  <c r="D55" i="81"/>
  <c r="M53" i="81" s="1"/>
  <c r="D53" i="81"/>
  <c r="C64" i="81"/>
  <c r="C63" i="81" s="1"/>
  <c r="C67" i="81" s="1"/>
  <c r="C68" i="81" s="1"/>
  <c r="D54" i="81" s="1"/>
  <c r="C80" i="81" l="1"/>
  <c r="E80" i="81" s="1"/>
  <c r="E81" i="81" s="1"/>
  <c r="C95" i="81"/>
  <c r="L66" i="81"/>
  <c r="M66" i="81" s="1"/>
  <c r="L65" i="81"/>
  <c r="M65" i="81" s="1"/>
  <c r="L64" i="81"/>
  <c r="M64" i="81" s="1"/>
  <c r="L68" i="81"/>
  <c r="M68" i="81" s="1"/>
  <c r="L63" i="81"/>
  <c r="M63" i="81" s="1"/>
  <c r="L67" i="81"/>
  <c r="M67" i="81" s="1"/>
  <c r="M69" i="81" l="1"/>
  <c r="N69" i="81" s="1"/>
  <c r="C96" i="81"/>
  <c r="E96" i="81" s="1"/>
  <c r="E97" i="81" s="1"/>
  <c r="C81" i="81"/>
  <c r="C97" i="81" l="1"/>
  <c r="D58" i="81" s="1"/>
  <c r="D56" i="81" s="1"/>
  <c r="M54" i="81" s="1"/>
  <c r="N57" i="81" s="1"/>
  <c r="P57" i="81" l="1"/>
  <c r="N58" i="81"/>
  <c r="N59" i="81"/>
  <c r="N60" i="81" l="1"/>
  <c r="N61" i="81"/>
  <c r="R27" i="31"/>
  <c r="L10" i="77" s="1"/>
  <c r="L7" i="77"/>
  <c r="R25" i="31"/>
  <c r="L8" i="77" s="1"/>
  <c r="R26" i="31"/>
  <c r="L9" i="77" s="1"/>
  <c r="S27" i="31" l="1"/>
  <c r="M10" i="77" s="1"/>
  <c r="S26" i="31"/>
  <c r="S25" i="31"/>
  <c r="S24" i="31"/>
  <c r="M7" i="77" s="1"/>
  <c r="S22" i="31" l="1"/>
  <c r="R22" i="31" s="1"/>
  <c r="B21" i="31" s="1"/>
  <c r="M9" i="77"/>
  <c r="M8" i="77"/>
  <c r="M11" i="77" s="1"/>
  <c r="L11" i="77" s="1"/>
  <c r="F17" i="74"/>
  <c r="E17" i="74"/>
  <c r="C20" i="9"/>
  <c r="B20" i="31" l="1"/>
  <c r="G20" i="9"/>
  <c r="C103" i="9"/>
  <c r="E16" i="74"/>
  <c r="F16" i="74"/>
  <c r="F15" i="74"/>
  <c r="E15" i="74"/>
  <c r="C19" i="9"/>
  <c r="C21" i="9" l="1"/>
  <c r="C102" i="9"/>
  <c r="D22" i="9"/>
  <c r="G19" i="9"/>
  <c r="G21" i="9" s="1"/>
  <c r="C32" i="9"/>
  <c r="C35" i="9" l="1"/>
  <c r="F118" i="9" s="1"/>
  <c r="H118" i="9"/>
  <c r="G118" i="9" l="1"/>
  <c r="G4" i="52" s="1"/>
  <c r="B52" i="72" s="1"/>
  <c r="F4" i="52"/>
  <c r="B51" i="72" s="1"/>
  <c r="F119" i="9"/>
  <c r="F5" i="52" s="1"/>
  <c r="B53" i="72" s="1"/>
  <c r="H4" i="52"/>
  <c r="H101" i="9"/>
  <c r="C104" i="9"/>
  <c r="D14" i="74"/>
  <c r="H119" i="9"/>
  <c r="H5" i="52" s="1"/>
  <c r="I118" i="9"/>
  <c r="C34" i="9"/>
  <c r="D118" i="9" s="1"/>
  <c r="D119" i="9" l="1"/>
  <c r="D5" i="52" s="1"/>
  <c r="B49" i="72" s="1"/>
  <c r="D4" i="52"/>
  <c r="B47" i="72" s="1"/>
  <c r="C105" i="9"/>
  <c r="H102" i="9"/>
  <c r="D7" i="53" s="1"/>
  <c r="B21" i="72" s="1"/>
  <c r="E118" i="9"/>
  <c r="E4" i="52" s="1"/>
  <c r="B48" i="72" s="1"/>
  <c r="I4" i="52"/>
  <c r="E14" i="74"/>
  <c r="B5" i="74"/>
  <c r="F14" i="74"/>
  <c r="M48" i="9"/>
  <c r="D5" i="53"/>
  <c r="H107" i="9"/>
  <c r="D45" i="9"/>
  <c r="D122" i="9" l="1"/>
  <c r="M49" i="9"/>
  <c r="D13" i="53"/>
  <c r="H108" i="9"/>
  <c r="D15" i="53" s="1"/>
  <c r="B31" i="72" s="1"/>
  <c r="D5" i="74"/>
  <c r="C5" i="74"/>
  <c r="D53" i="9"/>
  <c r="C78" i="9"/>
  <c r="C73" i="9" s="1"/>
  <c r="C93" i="9"/>
  <c r="C86" i="9" s="1"/>
  <c r="C85" i="9"/>
  <c r="C95" i="9" s="1"/>
  <c r="D52" i="9"/>
  <c r="D55" i="9"/>
  <c r="M53" i="9" s="1"/>
  <c r="C64" i="9"/>
  <c r="C63" i="9" s="1"/>
  <c r="C67" i="9" s="1"/>
  <c r="C68" i="9" s="1"/>
  <c r="D54" i="9" s="1"/>
  <c r="C72" i="9"/>
  <c r="C79" i="9" s="1"/>
  <c r="B20" i="72"/>
  <c r="D6" i="53"/>
  <c r="B22" i="72" s="1"/>
  <c r="C80" i="9" l="1"/>
  <c r="E80" i="9" s="1"/>
  <c r="E81" i="9" s="1"/>
  <c r="C96" i="9"/>
  <c r="E96" i="9" s="1"/>
  <c r="E97" i="9" s="1"/>
  <c r="L64" i="9"/>
  <c r="M64" i="9" s="1"/>
  <c r="L65" i="9"/>
  <c r="M65" i="9" s="1"/>
  <c r="L67" i="9"/>
  <c r="M67" i="9" s="1"/>
  <c r="L68" i="9"/>
  <c r="M68" i="9" s="1"/>
  <c r="L66" i="9"/>
  <c r="M66" i="9" s="1"/>
  <c r="L63" i="9"/>
  <c r="M63" i="9" s="1"/>
  <c r="D14" i="53"/>
  <c r="B32" i="72" s="1"/>
  <c r="B30" i="72"/>
  <c r="D8" i="52"/>
  <c r="G14" i="74"/>
  <c r="B6" i="74" s="1"/>
  <c r="D123" i="9"/>
  <c r="D9" i="52" s="1"/>
  <c r="M69" i="9" l="1"/>
  <c r="N69" i="9" s="1"/>
  <c r="C6" i="74"/>
  <c r="D6" i="74"/>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<sst xmlns="http://schemas.openxmlformats.org/spreadsheetml/2006/main" count="8173" uniqueCount="3192">
  <si>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</si>
  <si>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</si>
  <si>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</si>
  <si>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</si>
  <si>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</si>
  <si>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</si>
  <si>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</si>
  <si>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</si>
  <si>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</si>
  <si>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</si>
  <si>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</si>
  <si>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</si>
  <si>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</si>
  <si>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</si>
  <si>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</si>
  <si>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</si>
  <si>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</si>
  <si>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</si>
  <si>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</si>
  <si>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</si>
  <si>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</si>
  <si>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</si>
  <si>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</si>
  <si>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</si>
  <si>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</si>
  <si>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</si>
  <si>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</si>
  <si>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</si>
  <si>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</si>
  <si>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</si>
  <si>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</si>
  <si>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</si>
  <si>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</si>
  <si>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</si>
  <si>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</si>
  <si>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</si>
  <si>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</si>
  <si>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</si>
  <si>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</si>
  <si>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</si>
  <si>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</si>
  <si>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</si>
  <si>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</si>
  <si>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</si>
  <si>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</si>
  <si>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</si>
  <si>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</si>
  <si>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</si>
  <si>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</si>
  <si>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</si>
  <si>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</si>
  <si>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</si>
  <si>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</si>
  <si>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</si>
  <si>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</si>
  <si>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</si>
  <si>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</si>
  <si>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</si>
  <si>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</si>
  <si>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</si>
  <si>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</si>
  <si>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</si>
  <si>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</si>
  <si>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</si>
  <si>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</si>
  <si>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</si>
  <si>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</si>
  <si>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</si>
  <si>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</si>
  <si>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</si>
  <si>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</si>
  <si>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</si>
  <si>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</si>
  <si>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</si>
  <si>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</si>
  <si>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</si>
  <si>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</si>
  <si>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</si>
  <si>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</si>
  <si>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</si>
  <si>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</si>
  <si>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</si>
  <si>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</si>
  <si>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</si>
  <si>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</si>
  <si>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</si>
  <si>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</si>
  <si>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</si>
  <si>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</si>
  <si>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</si>
  <si>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</si>
  <si>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</si>
  <si>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</si>
  <si>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</si>
  <si>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</si>
  <si>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</si>
  <si>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</si>
  <si>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</si>
  <si>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</si>
  <si>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</si>
  <si>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</si>
  <si>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</si>
  <si>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</si>
  <si>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</si>
  <si>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</si>
  <si>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</si>
  <si>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</si>
  <si>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</si>
  <si>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</si>
  <si>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</si>
  <si>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</si>
  <si>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</si>
  <si>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</si>
  <si>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</si>
  <si>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</si>
  <si>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</si>
  <si>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</si>
  <si>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</si>
  <si>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</si>
  <si>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</si>
  <si>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</si>
  <si>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</si>
  <si>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</si>
  <si>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</si>
  <si>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</si>
  <si>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</si>
  <si>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</si>
  <si>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</si>
  <si>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</si>
  <si>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</si>
  <si>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</si>
  <si>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</si>
  <si>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</si>
  <si>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</si>
  <si>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</si>
  <si>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</si>
  <si>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</si>
  <si>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</si>
  <si>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</si>
  <si>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</si>
  <si>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</si>
  <si>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</si>
  <si>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</si>
  <si>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</si>
  <si>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</si>
  <si>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</si>
  <si>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</si>
  <si>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</si>
  <si>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</si>
  <si>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</si>
  <si>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</si>
  <si>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</si>
  <si>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</si>
  <si>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</si>
  <si>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</si>
  <si>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</si>
  <si>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</si>
  <si>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</si>
  <si>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</si>
  <si>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</si>
  <si>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</si>
  <si>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</si>
  <si>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</si>
  <si>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</si>
  <si>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</si>
  <si>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</si>
  <si>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</si>
  <si>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</si>
  <si>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</si>
  <si>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</si>
  <si>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</si>
  <si>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</si>
  <si>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</si>
  <si>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</si>
  <si>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</si>
  <si>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</si>
  <si>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</si>
  <si>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</si>
  <si>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</si>
  <si>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</si>
  <si>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</si>
  <si>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</si>
  <si>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</si>
  <si>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</si>
  <si>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</si>
  <si>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</si>
  <si>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</si>
  <si>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</si>
  <si>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</si>
  <si>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</si>
  <si>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</si>
  <si>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</si>
  <si>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</si>
  <si>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</si>
  <si>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</si>
  <si>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</si>
  <si>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</si>
  <si>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</si>
  <si>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</si>
  <si>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</si>
  <si>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</si>
  <si>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</si>
  <si>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</si>
  <si>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</si>
  <si>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</si>
  <si>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</si>
  <si>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</si>
  <si>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</si>
  <si>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</si>
  <si>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</si>
  <si>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</si>
  <si>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</si>
  <si>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</si>
  <si>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</si>
  <si>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</si>
  <si>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</si>
  <si>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</si>
  <si>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</si>
  <si>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</si>
  <si>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</si>
  <si>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</si>
  <si>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</si>
  <si>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</si>
  <si>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</si>
  <si>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</si>
  <si>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</si>
  <si>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</si>
  <si>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</si>
  <si>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</si>
  <si>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</si>
  <si>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</si>
  <si>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</si>
  <si>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</si>
  <si>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</si>
  <si>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</si>
  <si>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</si>
  <si>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</si>
  <si>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</si>
  <si>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</si>
  <si>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</si>
  <si>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</si>
  <si>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</si>
  <si>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</si>
  <si>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</si>
  <si>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</si>
  <si>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</si>
  <si>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</si>
  <si>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</si>
  <si>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</si>
  <si>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</si>
  <si>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</si>
  <si>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</si>
  <si>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</si>
  <si>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</si>
  <si>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</si>
  <si>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</si>
  <si>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</si>
  <si>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</si>
  <si>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</si>
  <si>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</si>
  <si>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</si>
  <si>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</si>
  <si>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</si>
  <si>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</si>
  <si>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</si>
  <si>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</si>
  <si>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</si>
  <si>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</si>
  <si>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</si>
  <si>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</si>
  <si>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</si>
  <si>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</si>
  <si>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</si>
  <si>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</si>
  <si>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</si>
  <si>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</si>
  <si>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</si>
  <si>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</si>
  <si>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</si>
  <si>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</si>
  <si>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</si>
  <si>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</si>
  <si>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</si>
  <si>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</si>
  <si>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</si>
  <si>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</si>
  <si>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</si>
  <si>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</si>
  <si>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</si>
  <si>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</si>
  <si>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</si>
  <si>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</si>
  <si>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</si>
  <si>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</si>
  <si>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</si>
  <si>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</si>
  <si>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</si>
  <si>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</si>
  <si>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</si>
  <si>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</si>
  <si>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</si>
  <si>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</si>
  <si>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</si>
  <si>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</si>
  <si>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</si>
  <si>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</si>
  <si>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</si>
  <si>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</si>
  <si>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</si>
  <si>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</si>
  <si>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</si>
  <si>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</si>
  <si>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</si>
  <si>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</si>
  <si>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</si>
  <si>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</si>
  <si>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</si>
  <si>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</si>
  <si>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</si>
  <si>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</si>
  <si>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</si>
  <si>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</si>
  <si>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</si>
  <si>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</si>
  <si>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</si>
  <si>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</si>
  <si>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</si>
  <si>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</si>
  <si>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</si>
  <si>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</si>
  <si>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</si>
  <si>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</si>
  <si>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</si>
  <si>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</si>
  <si>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</si>
  <si>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</si>
  <si>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</si>
  <si>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</si>
  <si>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</si>
  <si>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</si>
  <si>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</si>
  <si>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</si>
  <si>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</si>
  <si>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</si>
  <si>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</si>
  <si>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</si>
  <si>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</si>
  <si>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</si>
  <si>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</si>
  <si>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</si>
  <si>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</si>
  <si>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</si>
  <si>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</si>
  <si>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</si>
  <si>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</si>
  <si>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</si>
  <si>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</si>
  <si>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</si>
  <si>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</si>
  <si>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</si>
  <si>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</si>
  <si>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</si>
  <si>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</si>
  <si>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</si>
  <si>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</si>
  <si>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</si>
  <si>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</si>
  <si>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</si>
  <si>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</si>
  <si>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</si>
  <si>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</si>
  <si>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</si>
  <si>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</si>
  <si>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</si>
  <si>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</si>
  <si>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</si>
  <si>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</si>
  <si>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</si>
  <si>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</si>
  <si>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</si>
  <si>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</si>
  <si>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</si>
  <si>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</si>
  <si>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</si>
  <si>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</si>
  <si>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</si>
  <si>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</si>
  <si>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</si>
  <si>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</si>
  <si>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</si>
  <si>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</si>
  <si>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</si>
  <si>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</si>
  <si>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</si>
  <si>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</si>
  <si>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</si>
  <si>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</si>
  <si>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</si>
  <si>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</si>
  <si>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</si>
  <si>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</si>
  <si>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</si>
  <si>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</si>
  <si>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</si>
  <si>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</si>
  <si>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</si>
  <si>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</si>
  <si>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</si>
  <si>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</si>
  <si>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</si>
  <si>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</si>
  <si>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</si>
  <si>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</si>
  <si>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</si>
  <si>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</si>
  <si>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</si>
  <si>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</si>
  <si>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</si>
  <si>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</si>
  <si>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</si>
  <si>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</si>
  <si>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</si>
  <si>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</si>
  <si>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</si>
  <si>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</si>
  <si>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</si>
  <si>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</si>
  <si>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</si>
  <si>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</si>
  <si>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</si>
  <si>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</si>
  <si>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</si>
  <si>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</si>
  <si>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</si>
  <si>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</si>
  <si>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</si>
  <si>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</si>
  <si>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</si>
  <si>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</si>
  <si>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</si>
  <si>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</si>
  <si>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</si>
  <si>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</si>
  <si>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</si>
  <si>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</si>
  <si>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</si>
  <si>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</si>
  <si>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</si>
  <si>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</si>
  <si>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</si>
  <si>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</si>
  <si>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</si>
  <si>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</si>
  <si>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</si>
  <si>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</si>
  <si>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</si>
  <si>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</si>
  <si>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</si>
  <si>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</si>
  <si>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</si>
  <si>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</si>
  <si>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</si>
  <si>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</si>
  <si>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</si>
  <si>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</si>
  <si>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</si>
  <si>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</si>
  <si>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</si>
  <si>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</si>
  <si>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</si>
  <si>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</si>
  <si>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</si>
  <si>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</si>
  <si>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</si>
  <si>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</si>
  <si>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</si>
  <si>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</si>
  <si>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</si>
  <si>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</si>
  <si>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</si>
  <si>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</si>
  <si>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</si>
  <si>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</si>
  <si>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</si>
  <si>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</si>
  <si>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</si>
  <si>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</si>
  <si>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</si>
  <si>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</si>
  <si>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</si>
  <si>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</si>
  <si>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</si>
  <si>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</si>
  <si>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</si>
  <si>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</si>
  <si>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</si>
  <si>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</si>
  <si>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</si>
  <si>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</si>
  <si>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</si>
  <si>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</si>
  <si>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</si>
  <si>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</si>
  <si>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</si>
  <si>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</si>
  <si>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</si>
  <si>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</si>
  <si>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</si>
  <si>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</si>
  <si>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</si>
  <si>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</si>
  <si>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</si>
  <si>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</si>
  <si>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</si>
  <si>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</si>
  <si>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</si>
  <si>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</si>
  <si>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</si>
  <si>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</si>
  <si>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</si>
  <si>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</si>
  <si>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</si>
  <si>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</si>
  <si>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</si>
  <si>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</si>
  <si>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</si>
  <si>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</si>
  <si>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</si>
  <si>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</si>
  <si>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</si>
  <si>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</si>
  <si>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</si>
  <si>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</si>
  <si>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</si>
  <si>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</si>
  <si>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</si>
  <si>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</si>
  <si>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</si>
  <si>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</si>
  <si>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</si>
  <si>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</si>
  <si>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</si>
  <si>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</si>
  <si>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</si>
  <si>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</si>
  <si>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</si>
  <si>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</si>
  <si>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</si>
  <si>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</si>
  <si>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</si>
  <si>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</si>
  <si>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</si>
  <si>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</si>
  <si>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</si>
  <si>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</si>
  <si>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</si>
  <si>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</si>
  <si>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</si>
  <si>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</si>
  <si>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</si>
  <si>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</si>
  <si>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</si>
  <si>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</si>
  <si>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</si>
  <si>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</si>
  <si>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</si>
  <si>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</si>
  <si>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</si>
  <si>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</si>
  <si>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</si>
  <si>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</si>
  <si>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</si>
  <si>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</si>
  <si>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</si>
  <si>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</si>
  <si>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</si>
  <si>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</si>
  <si>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</si>
  <si>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</si>
  <si>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</si>
  <si>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</si>
  <si>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</si>
  <si>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</si>
  <si>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</si>
  <si>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</si>
  <si>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</si>
  <si>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</si>
  <si>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</si>
  <si>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</si>
  <si>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</si>
  <si>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</si>
  <si>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</si>
  <si>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</si>
  <si>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</si>
  <si>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</si>
  <si>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</si>
  <si>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</si>
  <si>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</si>
  <si>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</si>
  <si>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</si>
  <si>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</si>
  <si>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</si>
  <si>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</si>
  <si>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</si>
  <si>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</si>
  <si>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</si>
  <si>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</si>
  <si>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</si>
  <si>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</si>
  <si>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</si>
  <si>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</si>
  <si>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</si>
  <si>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</si>
  <si>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</si>
  <si>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</si>
  <si>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</si>
  <si>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</si>
  <si>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</si>
  <si>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</si>
  <si>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</si>
  <si>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</si>
  <si>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</si>
  <si>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</si>
  <si>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</si>
  <si>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</si>
  <si>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</si>
  <si>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</si>
  <si>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</si>
  <si>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</si>
  <si>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</si>
  <si>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</si>
  <si>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</si>
  <si>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</si>
  <si>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</si>
  <si>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</si>
  <si>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</si>
  <si>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</si>
  <si>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</si>
  <si>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</si>
  <si>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</si>
  <si>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</si>
  <si>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</si>
  <si>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</si>
  <si>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</si>
  <si>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</si>
  <si>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</si>
  <si>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</si>
  <si>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</si>
  <si>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</si>
  <si>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</si>
  <si>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</si>
  <si>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</si>
  <si>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</si>
  <si>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</si>
  <si>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</si>
  <si>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</si>
  <si>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</si>
  <si>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</si>
  <si>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</si>
  <si>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</si>
  <si>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</si>
  <si>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</si>
  <si>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</si>
  <si>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</si>
  <si>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</si>
  <si>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</si>
  <si>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</si>
  <si>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</si>
  <si>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</si>
  <si>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</si>
  <si>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</si>
  <si>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</si>
  <si>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</si>
  <si>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</si>
  <si>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</si>
  <si>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</si>
  <si>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</si>
  <si>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</si>
  <si>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</si>
  <si>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</si>
  <si>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</si>
  <si>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</si>
  <si>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</si>
  <si>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</si>
  <si>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</si>
  <si>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</si>
  <si>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</si>
  <si>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</si>
  <si>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</si>
  <si>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</si>
  <si>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</si>
  <si>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</si>
  <si>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</si>
  <si>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</si>
  <si>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</si>
  <si>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</si>
  <si>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</si>
  <si>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</si>
  <si>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</si>
  <si>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</si>
  <si>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</si>
  <si>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</si>
  <si>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</si>
  <si>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</si>
  <si>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</si>
  <si>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</si>
  <si>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</si>
  <si>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</si>
  <si>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</si>
  <si>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</si>
  <si>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</si>
  <si>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</si>
  <si>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</si>
  <si>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</si>
  <si>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</si>
  <si>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</si>
  <si>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</si>
  <si>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</si>
  <si>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</si>
  <si>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</si>
  <si>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</si>
  <si>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</si>
  <si>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</si>
  <si>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</si>
  <si>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</si>
  <si>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</si>
  <si>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</si>
  <si>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</si>
  <si>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</si>
  <si>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</si>
  <si>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</si>
  <si>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</si>
  <si>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</si>
  <si>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</si>
  <si>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</si>
  <si>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</si>
  <si>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</si>
  <si>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</si>
  <si>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</si>
  <si>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</si>
  <si>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</si>
  <si>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</si>
  <si>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</si>
  <si>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</si>
  <si>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</si>
  <si>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</si>
  <si>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</si>
  <si>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</si>
  <si>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</si>
  <si>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</si>
  <si>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</si>
  <si>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</si>
  <si>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</si>
  <si>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</si>
  <si>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</si>
  <si>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</si>
  <si>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</si>
  <si>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</si>
  <si>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</si>
  <si>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</si>
  <si>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</si>
  <si>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</si>
  <si>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</si>
  <si>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</si>
  <si>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</si>
  <si>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</si>
  <si>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</si>
  <si>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</si>
  <si>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</si>
  <si>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</si>
  <si>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</si>
  <si>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</si>
  <si>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</si>
  <si>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</si>
  <si>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</si>
  <si>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</si>
  <si>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</si>
  <si>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</si>
  <si>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</si>
  <si>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</si>
  <si>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</si>
  <si>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</si>
  <si>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</si>
  <si>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</si>
  <si>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</si>
  <si>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</si>
  <si>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</si>
  <si>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</si>
  <si>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</si>
  <si>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</si>
  <si>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</si>
  <si>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</si>
  <si>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</si>
  <si>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</si>
  <si>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</si>
  <si>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</si>
  <si>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</si>
  <si>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</si>
  <si>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</si>
  <si>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</si>
  <si>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</si>
  <si>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</si>
  <si>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</si>
  <si>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</si>
  <si>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</si>
  <si>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</si>
  <si>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</si>
  <si>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</si>
  <si>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</si>
  <si>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</si>
  <si>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</si>
  <si>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</si>
  <si>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</si>
  <si>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</si>
  <si>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</si>
  <si>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</si>
  <si>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</si>
  <si>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</si>
  <si>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</si>
  <si>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</si>
  <si>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</si>
  <si>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</si>
  <si>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</si>
  <si>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</si>
  <si>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</si>
  <si>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</si>
  <si>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</si>
  <si>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</si>
  <si>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</si>
  <si>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</si>
  <si>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</si>
  <si>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</si>
  <si>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</si>
  <si>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</si>
  <si>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</si>
  <si>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</si>
  <si>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</si>
  <si>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</si>
  <si>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</si>
  <si>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</si>
  <si>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</si>
  <si>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</si>
  <si>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</si>
  <si>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</si>
  <si>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</si>
  <si>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</si>
  <si>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</si>
  <si>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</si>
  <si>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</si>
  <si>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</si>
  <si>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</si>
  <si>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</si>
  <si>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</si>
  <si>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</si>
  <si>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</si>
  <si>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</si>
  <si>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</si>
  <si>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</si>
  <si>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</si>
  <si>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</si>
  <si>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</si>
  <si>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</si>
  <si>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</si>
  <si>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</si>
  <si>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</si>
  <si>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</si>
  <si>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</si>
  <si>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</si>
  <si>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</si>
  <si>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</si>
  <si>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</si>
  <si>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</si>
  <si>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</si>
  <si>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</si>
  <si>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</si>
  <si>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</si>
  <si>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</si>
  <si>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</si>
  <si>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</si>
  <si>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</si>
  <si>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</si>
  <si>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</si>
  <si>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</si>
  <si>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</si>
  <si>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</si>
  <si>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</si>
  <si>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</si>
  <si>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</si>
  <si>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</si>
  <si>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</si>
  <si>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</si>
  <si>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</si>
  <si>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</si>
  <si>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</si>
  <si>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</si>
  <si>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</si>
  <si>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</si>
  <si>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</si>
  <si>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</si>
  <si>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</si>
  <si>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</si>
  <si>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</si>
  <si>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</si>
  <si>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</si>
  <si>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</si>
  <si>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</si>
  <si>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</si>
  <si>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</si>
  <si>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</si>
  <si>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</si>
  <si>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</si>
  <si>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</si>
  <si>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</si>
  <si>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</si>
  <si>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</si>
  <si>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</si>
  <si>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</si>
  <si>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</si>
  <si>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</si>
  <si>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</si>
  <si>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</si>
  <si>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</si>
  <si>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</si>
  <si>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</si>
  <si>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</si>
  <si>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</si>
  <si>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</si>
  <si>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</si>
  <si>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</si>
  <si>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</si>
  <si>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</si>
  <si>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</si>
  <si>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</si>
  <si>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</si>
  <si>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</si>
  <si>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</si>
  <si>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</si>
  <si>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</si>
  <si>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</si>
  <si>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</si>
  <si>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</si>
  <si>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</si>
  <si>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</si>
  <si>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</si>
  <si>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</si>
  <si>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</si>
  <si>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</si>
  <si>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</si>
  <si>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</si>
  <si>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</si>
  <si>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</si>
  <si>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</si>
  <si>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</si>
  <si>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</si>
  <si>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</si>
  <si>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</si>
  <si>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</si>
  <si>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</si>
  <si>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</si>
  <si>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</si>
  <si>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</si>
  <si>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</si>
  <si>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</si>
  <si>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</si>
  <si>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</si>
  <si>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</si>
  <si>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</si>
  <si>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</si>
  <si>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</si>
  <si>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</si>
  <si>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</si>
  <si>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</si>
  <si>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</si>
  <si>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</si>
  <si>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</si>
  <si>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</si>
  <si>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</si>
  <si>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</si>
  <si>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</si>
  <si>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</si>
  <si>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</si>
  <si>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</si>
  <si>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</si>
  <si>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</si>
  <si>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</si>
  <si>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</si>
  <si>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</si>
  <si>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</si>
  <si>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</si>
  <si>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</si>
  <si>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</si>
  <si>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</si>
  <si>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</si>
  <si>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</si>
  <si>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</si>
  <si>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</si>
  <si>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</si>
  <si>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</si>
  <si>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</si>
  <si>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</si>
  <si>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</si>
  <si>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</si>
  <si>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</si>
  <si>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</si>
  <si>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</si>
  <si>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</si>
  <si>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</si>
  <si>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</si>
  <si>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</si>
  <si>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</si>
  <si>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</si>
  <si>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</si>
  <si>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</si>
  <si>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</si>
  <si>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</si>
  <si>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</si>
  <si>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</si>
  <si>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</si>
  <si>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</si>
  <si>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</si>
  <si>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</si>
  <si>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</si>
  <si>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</si>
  <si>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</si>
  <si>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</si>
  <si>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</si>
  <si>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</si>
  <si>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</si>
  <si>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</si>
  <si>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</si>
  <si>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</si>
  <si>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</si>
  <si>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</si>
  <si>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</si>
  <si>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</si>
  <si>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</si>
  <si>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</si>
  <si>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</si>
  <si>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</si>
  <si>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</si>
  <si>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</si>
  <si>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</si>
  <si>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</si>
  <si>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</si>
  <si>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</si>
  <si>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</si>
  <si>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</si>
  <si>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</si>
  <si>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</si>
  <si>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</si>
  <si>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</si>
  <si>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</si>
  <si>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</si>
  <si>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</si>
  <si>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</si>
  <si>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</si>
  <si>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</si>
  <si>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</si>
  <si>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</si>
  <si>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</si>
  <si>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</si>
  <si>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</si>
  <si>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</si>
  <si>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</si>
  <si>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</si>
  <si>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</si>
  <si>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</si>
  <si>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</si>
  <si>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</si>
  <si>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</si>
  <si>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</si>
  <si>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</si>
  <si>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</si>
  <si>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</si>
  <si>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</si>
  <si>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</si>
  <si>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</si>
  <si>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</si>
  <si>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</si>
  <si>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</si>
  <si>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</si>
  <si>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</si>
  <si>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</si>
  <si>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</si>
  <si>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</si>
  <si>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</si>
  <si>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</si>
  <si>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</si>
  <si>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</si>
  <si>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</si>
  <si>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</si>
  <si>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</si>
  <si>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</si>
  <si>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</si>
  <si>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</si>
  <si>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</si>
  <si>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</si>
  <si>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</si>
  <si>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</si>
  <si>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</si>
  <si>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</si>
  <si>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</si>
  <si>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</si>
  <si>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</si>
  <si>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</si>
  <si>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</si>
  <si>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</si>
  <si>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</si>
  <si>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</si>
  <si>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</si>
  <si>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</si>
  <si>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</si>
  <si>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</si>
  <si>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</si>
  <si>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</si>
  <si>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</si>
  <si>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</si>
  <si>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</si>
  <si>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</si>
  <si>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</si>
  <si>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</si>
  <si>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</si>
  <si>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</si>
  <si>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</si>
  <si>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</si>
  <si>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</si>
  <si>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</si>
  <si>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</si>
  <si>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</si>
  <si>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</si>
  <si>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</si>
  <si>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</si>
  <si>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</si>
  <si>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</si>
  <si>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</si>
  <si>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</si>
  <si>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</si>
  <si>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</si>
  <si>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</si>
  <si>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</si>
  <si>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</si>
  <si>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</si>
  <si>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</si>
  <si>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</si>
  <si>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</si>
  <si>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</si>
  <si>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</si>
  <si>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</si>
  <si>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</si>
  <si>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</si>
  <si>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</si>
  <si>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</si>
  <si>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</si>
  <si>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</si>
  <si>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</si>
  <si>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</si>
  <si>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</si>
  <si>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</si>
  <si>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</si>
  <si>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</si>
  <si>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</si>
  <si>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</si>
  <si>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</si>
  <si>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</si>
  <si>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</si>
  <si>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</si>
  <si>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</si>
  <si>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</si>
  <si>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</si>
  <si>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</si>
  <si>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</si>
  <si>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</si>
  <si>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</si>
  <si>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</si>
  <si>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</si>
  <si>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</si>
  <si>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</si>
  <si>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</si>
  <si>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</si>
  <si>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</si>
  <si>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</si>
  <si>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</si>
  <si>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</si>
  <si>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</si>
  <si>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</si>
  <si>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</si>
  <si>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</si>
  <si>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</si>
  <si>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</si>
  <si>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</si>
  <si>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</si>
  <si>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</si>
  <si>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</si>
  <si>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</si>
  <si>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</si>
  <si>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</si>
  <si>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</si>
  <si>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</si>
  <si>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</si>
  <si>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</si>
  <si>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</si>
  <si>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</si>
  <si>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</si>
  <si>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</si>
  <si>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</si>
  <si>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</si>
  <si>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</si>
  <si>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</si>
  <si>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</si>
  <si>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</si>
  <si>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</si>
  <si>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</si>
  <si>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</si>
  <si>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</si>
  <si>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</si>
  <si>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</si>
  <si>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</si>
  <si>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</si>
  <si>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</si>
  <si>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</si>
  <si>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</si>
  <si>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</si>
  <si>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</si>
  <si>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</si>
  <si>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</si>
  <si>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</si>
  <si>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</si>
  <si>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</si>
  <si>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</si>
  <si>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</si>
  <si>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</si>
  <si>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</si>
  <si>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</si>
  <si>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</si>
  <si>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</si>
  <si>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</si>
  <si>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</si>
  <si>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</si>
  <si>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</si>
  <si>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</si>
  <si>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</si>
  <si>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</si>
  <si>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</si>
  <si>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</si>
  <si>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</si>
  <si>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</si>
  <si>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</si>
  <si>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</si>
  <si>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</si>
  <si>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</si>
  <si>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</si>
  <si>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</si>
  <si>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</si>
  <si>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</si>
  <si>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</si>
  <si>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</si>
  <si>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</si>
  <si>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</si>
  <si>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</si>
  <si>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</si>
  <si>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</si>
  <si>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</si>
  <si>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</si>
  <si>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</si>
  <si>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</si>
  <si>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</si>
  <si>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</si>
  <si>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</si>
  <si>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</si>
  <si>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</si>
  <si>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</si>
  <si>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</si>
  <si>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</si>
  <si>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</si>
  <si>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</si>
  <si>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</si>
  <si>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</si>
  <si>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</si>
  <si>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</si>
  <si>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</si>
  <si>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</si>
  <si>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</si>
  <si>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</si>
  <si>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</si>
  <si>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</si>
  <si>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</si>
  <si>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</si>
  <si>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</si>
  <si>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</si>
  <si>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</si>
  <si>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</si>
  <si>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</si>
  <si>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</si>
  <si>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</si>
  <si>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</si>
  <si>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</si>
  <si>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</si>
  <si>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</si>
  <si>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</si>
  <si>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</si>
  <si>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</si>
  <si>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</si>
  <si>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</si>
  <si>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</si>
  <si>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</si>
  <si>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</si>
  <si>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</si>
  <si>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</si>
  <si>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</si>
  <si>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</si>
  <si>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</si>
  <si>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</si>
  <si>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</si>
  <si>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</si>
  <si>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</si>
  <si>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</si>
  <si>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</si>
  <si>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</si>
  <si>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</si>
  <si>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</si>
  <si>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</si>
  <si>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</si>
  <si>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</si>
  <si>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</si>
  <si>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</si>
  <si>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</si>
  <si>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</si>
  <si>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</si>
  <si>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</si>
  <si>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</si>
  <si>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</si>
  <si>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</si>
  <si>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</si>
  <si>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</si>
  <si>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</si>
  <si>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</si>
  <si>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</si>
  <si>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</si>
  <si>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</si>
  <si>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</si>
  <si>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</si>
  <si>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</si>
  <si>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</si>
  <si>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</si>
  <si>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</si>
  <si>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</si>
  <si>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</si>
  <si>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</si>
  <si>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</si>
  <si>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</si>
  <si>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</si>
  <si>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</si>
  <si>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</si>
  <si>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</si>
  <si>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</si>
  <si>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</si>
  <si>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</si>
  <si>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</si>
  <si>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</si>
  <si>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</si>
  <si>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</si>
  <si>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</si>
  <si>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</si>
  <si>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</si>
  <si>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</si>
  <si>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</si>
  <si>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</si>
  <si>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</si>
  <si>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</si>
  <si>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</si>
  <si>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</si>
  <si>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</si>
  <si>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</si>
  <si>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</si>
  <si>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</si>
  <si>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</si>
  <si>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</si>
  <si>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</si>
  <si>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</si>
  <si>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</si>
  <si>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</si>
  <si>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</si>
  <si>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</si>
  <si>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</si>
  <si>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</si>
  <si>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</si>
  <si>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</si>
  <si>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</si>
  <si>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</si>
  <si>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</si>
  <si>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</si>
  <si>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</si>
  <si>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</si>
  <si>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</si>
  <si>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</si>
  <si>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</si>
  <si>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</si>
  <si>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</si>
  <si>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</si>
  <si>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</si>
  <si>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</si>
  <si>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</si>
  <si>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</si>
  <si>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</si>
  <si>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</si>
  <si>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</si>
  <si>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</si>
  <si>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</si>
  <si>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</si>
  <si>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</si>
  <si>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</si>
  <si>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</si>
  <si>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</si>
  <si>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</si>
  <si>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</si>
  <si>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</si>
  <si>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</si>
  <si>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</si>
  <si>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</si>
  <si>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</si>
  <si>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</si>
  <si>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</si>
  <si>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</si>
  <si>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</si>
  <si>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</si>
  <si>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</si>
  <si>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</si>
  <si>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</si>
  <si>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</si>
  <si>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</si>
  <si>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</si>
  <si>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</si>
  <si>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</si>
  <si>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</si>
  <si>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</si>
  <si>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</si>
  <si>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</si>
  <si>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</si>
  <si>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</si>
  <si>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</si>
  <si>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</si>
  <si>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</si>
  <si>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</si>
  <si>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</si>
  <si>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</si>
  <si>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</si>
  <si>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</si>
  <si>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</si>
  <si>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</si>
  <si>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</si>
  <si>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</si>
  <si>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</si>
  <si>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</si>
  <si>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</si>
  <si>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</si>
  <si>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</si>
  <si>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</si>
  <si>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</si>
  <si>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</si>
  <si>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</si>
  <si>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</si>
  <si>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</si>
  <si>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</si>
  <si>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</si>
  <si>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</si>
  <si>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</si>
  <si>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</si>
  <si>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</si>
  <si>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</si>
  <si>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</si>
  <si>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</si>
  <si>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</si>
  <si>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</si>
  <si>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</si>
  <si>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</si>
  <si>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</si>
  <si>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</si>
  <si>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</si>
  <si>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</si>
  <si>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</si>
  <si>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</si>
  <si>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</si>
  <si>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</si>
  <si>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</si>
  <si>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</si>
  <si>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</si>
  <si>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</si>
  <si>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</si>
  <si>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</si>
  <si>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</si>
  <si>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</si>
  <si>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</si>
  <si>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</si>
  <si>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</si>
  <si>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</si>
  <si>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</si>
  <si>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</si>
  <si>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</si>
  <si>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</si>
  <si>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</si>
  <si>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</si>
  <si>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</si>
  <si>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</si>
  <si>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</si>
  <si>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</si>
  <si>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</si>
  <si>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</si>
  <si>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</si>
  <si>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</si>
  <si>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</si>
  <si>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</si>
  <si>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</si>
  <si>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</si>
  <si>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</si>
  <si>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</si>
  <si>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</si>
  <si>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</si>
  <si>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</si>
  <si>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</si>
  <si>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</si>
  <si>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</si>
  <si>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</si>
  <si>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</si>
  <si>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</si>
  <si>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</si>
  <si>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</si>
  <si>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</si>
  <si>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</si>
  <si>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</si>
  <si>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</si>
  <si>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</si>
  <si>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</si>
  <si>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</si>
  <si>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</si>
  <si>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</si>
  <si>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</si>
  <si>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</si>
  <si>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</si>
  <si>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</si>
  <si>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</si>
  <si>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</si>
  <si>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</si>
  <si>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</si>
  <si>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</si>
  <si>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</si>
  <si>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</si>
  <si>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</si>
  <si>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</si>
  <si>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</si>
  <si>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</si>
  <si>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</si>
  <si>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</si>
  <si>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</si>
  <si>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</si>
  <si>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</si>
  <si>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</si>
  <si>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</si>
  <si>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</si>
  <si>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</si>
  <si>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</si>
  <si>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</si>
  <si>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</si>
  <si>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</si>
  <si>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</si>
  <si>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</si>
  <si>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</si>
  <si>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</si>
  <si>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</si>
  <si>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</si>
  <si>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</si>
  <si>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</si>
  <si>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</si>
  <si>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</si>
  <si>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</si>
  <si>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</si>
  <si>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</si>
  <si>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</si>
  <si>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</si>
  <si>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</si>
  <si>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</si>
  <si>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</si>
  <si>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</si>
  <si>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</si>
  <si>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</si>
  <si>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</si>
  <si>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</si>
  <si>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</si>
  <si>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</si>
  <si>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</si>
  <si>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</si>
  <si>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</si>
  <si>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</si>
  <si>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</si>
  <si>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</si>
  <si>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</si>
  <si>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</si>
  <si>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</si>
  <si>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</si>
  <si>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</si>
  <si>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</si>
  <si>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</si>
  <si>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</si>
  <si>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</si>
  <si>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</si>
  <si>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</si>
  <si>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</si>
  <si>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</si>
  <si>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</si>
  <si>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</si>
  <si>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</si>
  <si>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</si>
  <si>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</si>
  <si>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</si>
  <si>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</si>
  <si>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</si>
  <si>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</si>
  <si>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</si>
  <si>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</si>
  <si>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</si>
  <si>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</si>
  <si>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</si>
  <si>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</si>
  <si>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</si>
  <si>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</si>
  <si>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</si>
  <si>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</si>
  <si>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</si>
  <si>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</si>
  <si>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</si>
  <si>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</si>
  <si>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</si>
  <si>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</si>
  <si>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</si>
  <si>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</si>
  <si>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</si>
  <si>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</si>
  <si>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</si>
  <si>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</si>
  <si>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</si>
  <si>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</si>
  <si>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</si>
  <si>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</si>
  <si>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</si>
  <si>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</si>
  <si>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</si>
  <si>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</si>
  <si>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</si>
  <si>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</si>
  <si>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</si>
  <si>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</si>
  <si>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</si>
  <si>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</si>
  <si>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</si>
  <si>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</si>
  <si>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</si>
  <si>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</si>
  <si>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</si>
  <si>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</si>
  <si>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</si>
  <si>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</si>
  <si>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</si>
  <si>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</si>
  <si>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</si>
  <si>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</si>
  <si>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</si>
  <si>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</si>
  <si>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</si>
  <si>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</si>
  <si>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</si>
  <si>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</si>
  <si>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</si>
  <si>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</si>
  <si>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</si>
  <si>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</si>
  <si>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</si>
  <si>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</si>
  <si>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</si>
  <si>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</si>
  <si>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</si>
  <si>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</si>
  <si>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</si>
  <si>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</si>
  <si>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</si>
  <si>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</si>
  <si>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</si>
  <si>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</si>
  <si>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</si>
  <si>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</si>
  <si>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</si>
  <si>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</si>
  <si>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</si>
  <si>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</si>
  <si>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</si>
  <si>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</si>
  <si>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</si>
  <si>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</si>
  <si>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</si>
  <si>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</si>
  <si>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</si>
  <si>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</si>
  <si>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</si>
  <si>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</si>
  <si>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</si>
  <si>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</si>
  <si>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</si>
  <si>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</si>
  <si>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</si>
  <si>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</si>
  <si>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</si>
  <si>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</si>
  <si>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</si>
  <si>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</si>
  <si>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</si>
  <si>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</si>
  <si>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</si>
  <si>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</si>
  <si>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</si>
  <si>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</si>
  <si>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</si>
  <si>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</si>
  <si>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</si>
  <si>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</si>
  <si>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</si>
  <si>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</si>
  <si>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</si>
  <si>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</si>
  <si>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</si>
  <si>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</si>
  <si>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</si>
  <si>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</si>
  <si>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</si>
  <si>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</si>
  <si>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</si>
  <si>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</si>
  <si>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</si>
  <si>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</si>
  <si>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</si>
  <si>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</si>
  <si>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</si>
  <si>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</si>
  <si>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</si>
  <si>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</si>
  <si>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</si>
  <si>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</si>
  <si>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</si>
  <si>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</si>
  <si>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</si>
  <si>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</si>
  <si>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</si>
  <si>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</si>
  <si>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</si>
  <si>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</si>
  <si>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</si>
  <si>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</si>
  <si>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</si>
  <si>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</si>
  <si>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</si>
  <si>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</si>
  <si>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</si>
  <si>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</si>
  <si>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</si>
  <si>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</si>
  <si>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</si>
  <si>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</si>
  <si>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</si>
  <si>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</si>
  <si>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</si>
  <si>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</si>
  <si>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</si>
  <si>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</si>
  <si>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</si>
  <si>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</si>
  <si>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</si>
  <si>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</si>
  <si>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</si>
  <si>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</si>
  <si>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</si>
  <si>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</si>
  <si>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</si>
  <si>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</si>
  <si>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</si>
  <si>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</si>
  <si>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</si>
  <si>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</si>
  <si>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</si>
  <si>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</si>
  <si>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</si>
  <si>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</si>
  <si>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</si>
  <si>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</si>
  <si>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</si>
  <si>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</si>
  <si>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</si>
  <si>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</si>
  <si>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</si>
  <si>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</si>
  <si>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</si>
  <si>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</si>
  <si>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</si>
  <si>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</si>
  <si>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</si>
  <si>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</si>
  <si>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</si>
  <si>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</si>
  <si>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</si>
  <si>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</si>
  <si>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</si>
  <si>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</si>
  <si>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</si>
  <si>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</si>
  <si>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</si>
  <si>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</si>
  <si>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</si>
  <si>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</si>
  <si>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</si>
  <si>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</si>
  <si>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</si>
  <si>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</si>
  <si>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</si>
  <si>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</si>
  <si>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</si>
  <si>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</si>
  <si>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</si>
  <si>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</si>
  <si>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</si>
  <si>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</si>
  <si>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</si>
  <si>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</si>
  <si>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</si>
  <si>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</si>
  <si>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</si>
  <si>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</si>
  <si>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</si>
  <si>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</si>
  <si>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</si>
  <si>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</si>
  <si>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</si>
  <si>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</si>
  <si>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</si>
  <si>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</si>
  <si>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</si>
  <si>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</si>
  <si>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</si>
  <si>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</si>
  <si>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</si>
  <si>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</si>
  <si>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</si>
  <si>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</si>
  <si>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</si>
  <si>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</si>
  <si>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</si>
  <si>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</si>
  <si>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</si>
  <si>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</si>
  <si>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</si>
  <si>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</si>
  <si>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</si>
  <si>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</si>
  <si>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</si>
  <si>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</si>
  <si>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</si>
  <si>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</si>
  <si>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</si>
  <si>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</si>
  <si>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</si>
  <si>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</si>
  <si>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</si>
  <si>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</si>
  <si>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</si>
  <si>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</si>
  <si>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</si>
  <si>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</si>
  <si>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</si>
  <si>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</si>
  <si>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</si>
  <si>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</si>
  <si>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</si>
  <si>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</si>
  <si>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</si>
  <si>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</si>
  <si>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</si>
  <si>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</si>
  <si>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</si>
  <si>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</si>
  <si>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</si>
  <si>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</si>
  <si>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</si>
  <si>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</si>
  <si>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</si>
  <si>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</si>
  <si>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</si>
  <si>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</si>
  <si>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</si>
  <si>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</si>
  <si>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</si>
  <si>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</si>
  <si>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</si>
  <si>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</si>
  <si>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</si>
  <si>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</si>
  <si>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</si>
  <si>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</si>
  <si>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</si>
  <si>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</si>
  <si>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</si>
  <si>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</si>
  <si>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</si>
  <si>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</si>
  <si>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</si>
  <si>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</si>
  <si>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</si>
  <si>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</si>
  <si>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</si>
  <si>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</si>
  <si>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</si>
  <si>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</si>
  <si>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</si>
  <si>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</si>
  <si>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</si>
  <si>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</si>
  <si>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</si>
  <si>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</si>
  <si>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</si>
  <si>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</si>
  <si>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</si>
  <si>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</si>
  <si>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</si>
  <si>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</si>
  <si>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</si>
  <si>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</si>
  <si>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</si>
  <si>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</si>
  <si>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</si>
  <si>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</si>
  <si>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</si>
  <si>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</si>
  <si>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</si>
  <si>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</si>
  <si>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</si>
  <si>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</si>
  <si>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</si>
  <si>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</si>
  <si>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</si>
  <si>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</si>
  <si>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</si>
  <si>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</si>
  <si>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</si>
  <si>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</si>
  <si>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</si>
  <si>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</si>
  <si>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</si>
  <si>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</si>
  <si>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</si>
  <si>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</si>
  <si>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</si>
  <si>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</si>
  <si>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</si>
  <si>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</si>
  <si>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</si>
  <si>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</si>
  <si>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</si>
  <si>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</si>
  <si>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</si>
  <si>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</si>
  <si>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</si>
  <si>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</si>
  <si>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</si>
  <si>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</si>
  <si>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</si>
  <si>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</si>
  <si>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</si>
  <si>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</si>
  <si>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</si>
  <si>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</si>
  <si>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</si>
  <si>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</si>
  <si>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</si>
  <si>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</si>
  <si>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</si>
  <si>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</si>
  <si>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</si>
  <si>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</si>
  <si>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</si>
  <si>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</si>
  <si>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</si>
  <si>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</si>
  <si>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</si>
  <si>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</si>
  <si>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</si>
  <si>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</si>
  <si>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</si>
  <si>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</si>
  <si>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</si>
  <si>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</si>
  <si>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</si>
  <si>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</si>
  <si>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</si>
  <si>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</si>
  <si>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</si>
  <si>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</si>
  <si>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</si>
  <si>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</si>
  <si>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</si>
  <si>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</si>
  <si>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</si>
  <si>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</si>
  <si>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</si>
  <si>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</si>
  <si>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</si>
  <si>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</si>
  <si>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</si>
  <si>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</si>
  <si>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</si>
  <si>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</si>
  <si>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</si>
  <si>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</si>
  <si>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</si>
  <si>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</si>
  <si>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</si>
  <si>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</si>
  <si>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</si>
  <si>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</si>
  <si>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</si>
  <si>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</si>
  <si>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</si>
  <si>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</si>
  <si>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</si>
  <si>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</si>
  <si>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</si>
  <si>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</si>
  <si>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</si>
  <si>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</si>
  <si>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</si>
  <si>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</si>
  <si>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</si>
  <si>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</si>
  <si>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</si>
  <si>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</si>
  <si>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</si>
  <si>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</si>
  <si>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</si>
  <si>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</si>
  <si>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</si>
  <si>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</si>
  <si>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</si>
  <si>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</si>
  <si>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</si>
  <si>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</si>
  <si>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</si>
  <si>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</si>
  <si>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</si>
  <si>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</si>
  <si>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</si>
  <si>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</si>
  <si>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</si>
  <si>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</si>
  <si>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</si>
  <si>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</si>
  <si>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</si>
  <si>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</si>
  <si>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</si>
  <si>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</si>
  <si>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</si>
  <si>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</si>
  <si>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</si>
  <si>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</si>
  <si>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</si>
  <si>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</si>
  <si>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</si>
  <si>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</si>
  <si>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</si>
  <si>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</si>
  <si>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</si>
  <si>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</si>
  <si>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</si>
  <si>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</si>
  <si>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</si>
  <si>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</si>
  <si>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</si>
  <si>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</si>
  <si>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</si>
  <si>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</si>
  <si>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</si>
  <si>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</si>
  <si>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</si>
  <si>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</si>
  <si>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</si>
  <si>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</si>
  <si>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</si>
  <si>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</si>
  <si>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</si>
  <si>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</si>
  <si>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</si>
  <si>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</si>
  <si>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</si>
  <si>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</si>
  <si>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</si>
  <si>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</si>
  <si>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</si>
  <si>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</si>
  <si>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</si>
  <si>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</si>
  <si>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</si>
  <si>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</si>
  <si>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</si>
  <si>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</si>
  <si>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</si>
  <si>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</si>
  <si>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</si>
  <si>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</si>
  <si>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</si>
  <si>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</si>
  <si>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</si>
  <si>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</si>
  <si>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</si>
  <si>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</si>
  <si>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</si>
  <si>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</si>
  <si>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</si>
  <si>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</si>
  <si>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</si>
  <si>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</si>
  <si>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</si>
  <si>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</si>
  <si>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</si>
  <si>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</si>
  <si>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</si>
  <si>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</si>
  <si>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</si>
  <si>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</si>
  <si>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</si>
  <si>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</si>
  <si>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</si>
  <si>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</si>
  <si>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</si>
  <si>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</si>
  <si>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</si>
  <si>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</si>
  <si>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</si>
  <si>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</si>
  <si>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</si>
  <si>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</si>
  <si>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</si>
  <si>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</si>
  <si>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</si>
  <si>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</si>
  <si>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</si>
  <si>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</si>
  <si>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</si>
  <si>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</si>
  <si>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</si>
  <si>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</si>
  <si>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</si>
  <si>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</si>
  <si>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</si>
  <si>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</si>
  <si>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</si>
  <si>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</si>
  <si>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</si>
  <si>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</si>
  <si>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</si>
  <si>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</si>
  <si>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</si>
  <si>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</si>
  <si>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</si>
  <si>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</si>
  <si>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</si>
  <si>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</si>
  <si>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</si>
  <si>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</si>
  <si>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</si>
  <si>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</si>
  <si>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</si>
  <si>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</si>
  <si>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</si>
  <si>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</si>
  <si>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</si>
  <si>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</si>
  <si>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</si>
  <si>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</si>
  <si>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</si>
  <si>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</si>
  <si>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</si>
  <si>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</si>
  <si>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</si>
  <si>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</si>
  <si>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</si>
  <si>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</si>
  <si>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</si>
  <si>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</si>
  <si>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</si>
  <si>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</si>
  <si>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</si>
  <si>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</si>
  <si>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</si>
  <si>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</si>
  <si>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</si>
  <si>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</si>
  <si>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</si>
  <si>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</si>
  <si>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</si>
  <si>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</si>
  <si>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</si>
  <si>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</si>
  <si>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</si>
  <si>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</si>
  <si>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</si>
  <si>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</si>
  <si>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</si>
  <si>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</si>
  <si>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</si>
  <si>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</si>
  <si>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</si>
  <si>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</si>
  <si>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</si>
  <si>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</si>
  <si>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</si>
  <si>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</si>
  <si>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</si>
  <si>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</si>
  <si>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</si>
  <si>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</si>
  <si>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</si>
  <si>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</si>
  <si>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</si>
  <si>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</si>
  <si>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</si>
  <si>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</si>
  <si>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</si>
  <si>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</si>
  <si>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</si>
  <si>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</si>
  <si>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</si>
  <si>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</si>
  <si>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</si>
  <si>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</si>
  <si>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</si>
  <si>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</si>
  <si>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</si>
  <si>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</si>
  <si>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</si>
  <si>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</si>
  <si>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</si>
  <si>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</si>
  <si>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</si>
  <si>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</si>
  <si>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</si>
  <si>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</si>
  <si>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</si>
  <si>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</si>
  <si>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</si>
  <si>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</si>
  <si>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</si>
  <si>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</si>
  <si>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</si>
  <si>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</si>
  <si>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</si>
  <si>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</si>
  <si>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</si>
  <si>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</si>
  <si>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</si>
  <si>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</si>
  <si>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</si>
  <si>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</si>
  <si>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</si>
  <si>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</si>
  <si>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</si>
  <si>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</si>
  <si>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</si>
  <si>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</si>
  <si>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</si>
  <si>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</si>
  <si>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</si>
  <si>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</si>
  <si>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</si>
  <si>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</si>
  <si>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</si>
  <si>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</si>
  <si>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</si>
  <si>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</si>
  <si>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</si>
  <si>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</si>
  <si>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</si>
  <si>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</si>
  <si>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</si>
  <si>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</si>
  <si>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</si>
  <si>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</si>
  <si>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</si>
  <si>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</si>
  <si>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</si>
  <si>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</si>
  <si>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</si>
  <si>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</si>
  <si>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</si>
  <si>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</si>
  <si>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</si>
  <si>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</si>
  <si>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</si>
  <si>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</si>
  <si>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</si>
  <si>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</si>
  <si>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</si>
  <si>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</si>
  <si>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</si>
  <si>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</si>
  <si>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</si>
  <si>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</si>
  <si>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</si>
  <si>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</si>
  <si>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</si>
  <si>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</si>
  <si>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</si>
  <si>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</si>
  <si>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</si>
  <si>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</si>
  <si>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</si>
  <si>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</si>
  <si>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</si>
  <si>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</si>
  <si>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</si>
  <si>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</si>
  <si>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</si>
  <si>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</si>
  <si>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</si>
  <si>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</si>
  <si>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</si>
  <si>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</si>
  <si>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</si>
  <si>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</si>
  <si>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</si>
  <si>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</si>
  <si>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</si>
  <si>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</si>
  <si>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</si>
  <si>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</si>
  <si>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</si>
  <si>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</si>
  <si>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</si>
  <si>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</si>
  <si>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</si>
  <si>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</si>
  <si>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</si>
  <si>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</si>
  <si>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</si>
  <si>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</si>
  <si>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</si>
  <si>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</si>
  <si>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</si>
  <si>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</si>
  <si>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</si>
  <si>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</si>
  <si>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</si>
  <si>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</si>
  <si>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</si>
  <si>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</si>
  <si>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</si>
  <si>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</si>
  <si>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</si>
  <si>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</si>
  <si>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</si>
  <si>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</si>
  <si>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</si>
  <si>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</si>
  <si>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</si>
  <si>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</si>
  <si>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</si>
  <si>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</si>
  <si>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</si>
  <si>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</si>
  <si>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</si>
  <si>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</si>
  <si>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</si>
  <si>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</si>
  <si>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</si>
  <si>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</si>
  <si>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</si>
  <si>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</si>
  <si>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</si>
  <si>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</si>
  <si>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</si>
  <si>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</si>
  <si>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</si>
  <si>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</si>
  <si>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</si>
  <si>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</si>
  <si>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</si>
  <si>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</si>
  <si>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</si>
  <si>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</si>
  <si>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</si>
  <si>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</si>
  <si>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</si>
  <si>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</si>
  <si>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</si>
  <si>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</si>
  <si>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</si>
  <si>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</si>
  <si>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</si>
  <si>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</si>
  <si>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</si>
  <si>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</si>
  <si>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</si>
  <si>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</si>
  <si>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</si>
  <si>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</si>
  <si>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</si>
  <si>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</si>
  <si>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</si>
  <si>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</si>
  <si>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</si>
  <si>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</si>
  <si>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</si>
  <si>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</si>
  <si>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</si>
  <si>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</si>
  <si>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</si>
  <si>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</si>
  <si>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</si>
  <si>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</si>
  <si>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</si>
  <si>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</si>
  <si>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</si>
  <si>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</si>
  <si>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</si>
  <si>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</si>
  <si>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</si>
  <si>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</si>
  <si>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</si>
  <si>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</si>
  <si>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</si>
  <si>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</si>
  <si>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</si>
  <si>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</si>
  <si>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</si>
  <si>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</si>
  <si>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</si>
  <si>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</si>
  <si>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</si>
  <si>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</si>
  <si>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</si>
  <si>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</si>
  <si>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</si>
  <si>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</si>
  <si>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</si>
  <si>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</si>
  <si>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</si>
  <si>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</si>
  <si>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</si>
  <si>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</si>
  <si>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</si>
  <si>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</si>
  <si>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</si>
  <si>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</si>
  <si>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</si>
  <si>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</si>
  <si>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</si>
  <si>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</si>
  <si>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</si>
  <si>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</si>
  <si>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</si>
  <si>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</si>
  <si>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</si>
  <si>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</si>
  <si>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</si>
  <si>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</si>
  <si>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</si>
  <si>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</si>
  <si>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</si>
  <si>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</si>
  <si>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</si>
  <si>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</si>
  <si>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</si>
  <si>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</si>
  <si>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</si>
  <si>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</si>
  <si>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</si>
  <si>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</si>
  <si>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</si>
  <si>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</si>
  <si>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</si>
  <si>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</si>
  <si>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</si>
  <si>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</si>
  <si>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</si>
  <si>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</si>
  <si>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</si>
  <si>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</si>
  <si>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</si>
  <si>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</si>
  <si>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</si>
  <si>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</si>
  <si>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</si>
  <si>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</si>
  <si>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</si>
  <si>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</si>
  <si>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</si>
  <si>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</si>
  <si>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</si>
  <si>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</si>
  <si>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</si>
  <si>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</si>
  <si>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</si>
  <si>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</si>
  <si>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</si>
  <si>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</si>
  <si>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</si>
  <si>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</si>
  <si>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</si>
  <si>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</si>
  <si>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</si>
  <si>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</si>
  <si>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</si>
  <si>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</si>
  <si>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</si>
  <si>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</si>
  <si>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</si>
  <si>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</si>
  <si>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</si>
  <si>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</si>
  <si>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</si>
  <si>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</si>
  <si>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</si>
  <si>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</si>
  <si>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</si>
  <si>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</si>
  <si>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</si>
  <si>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</si>
  <si>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</si>
  <si>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</si>
  <si>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</si>
  <si>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</si>
  <si>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</si>
  <si>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</si>
  <si>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</si>
  <si>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</si>
  <si>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</si>
  <si>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</si>
  <si>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</si>
  <si>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</si>
  <si>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</si>
  <si>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</si>
  <si>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</si>
  <si>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</si>
  <si>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</si>
  <si>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</si>
  <si>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</si>
  <si>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</si>
  <si>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</si>
  <si>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</si>
  <si>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</si>
  <si>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</si>
  <si>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</si>
  <si>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</si>
  <si>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</si>
  <si>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</si>
  <si>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</si>
  <si>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</si>
  <si>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</si>
  <si>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</si>
  <si>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</si>
  <si>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</si>
  <si>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</si>
  <si>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</si>
  <si>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</si>
  <si>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</si>
  <si>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</si>
  <si>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</si>
  <si>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</si>
  <si>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</si>
  <si>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</si>
  <si>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</si>
  <si>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</si>
  <si>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</si>
  <si>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</si>
  <si>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</si>
  <si>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</si>
  <si>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</si>
  <si>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</si>
  <si>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</si>
  <si>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</si>
  <si>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</si>
  <si>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</si>
  <si>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</si>
  <si>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</si>
  <si>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</si>
  <si>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</si>
  <si>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</si>
  <si>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</si>
  <si>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</si>
  <si>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</si>
  <si>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</si>
  <si>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</si>
  <si>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</si>
  <si>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</si>
  <si>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</si>
  <si>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</si>
  <si>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</si>
  <si>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</si>
  <si>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</si>
  <si>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</si>
  <si>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</si>
  <si>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</si>
  <si>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</si>
  <si>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</si>
  <si>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</si>
  <si>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</si>
  <si>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</si>
  <si>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</si>
  <si>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</si>
  <si>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</si>
  <si>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</si>
  <si>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</si>
  <si>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</si>
  <si>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</si>
  <si>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</si>
  <si>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</si>
  <si>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</si>
  <si>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</si>
  <si>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</si>
  <si>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</si>
  <si>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</si>
  <si>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</si>
  <si>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</si>
  <si>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</si>
  <si>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</si>
  <si>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</si>
  <si>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</si>
  <si>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</si>
  <si>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</si>
  <si>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</si>
  <si>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</si>
  <si>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</si>
  <si>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</si>
  <si>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</si>
  <si>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</si>
  <si>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</si>
  <si>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</si>
  <si>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</si>
  <si>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</si>
  <si>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</si>
  <si>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</si>
  <si>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</si>
  <si>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</si>
  <si>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</si>
  <si>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</si>
  <si>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</si>
  <si>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</si>
  <si>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</si>
  <si>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</si>
  <si>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</si>
  <si>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</si>
  <si>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</si>
  <si>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</si>
  <si>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</si>
  <si>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</si>
  <si>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</si>
  <si>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</si>
  <si>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</si>
  <si>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</si>
  <si>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</si>
  <si>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</si>
  <si>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</si>
  <si>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</si>
  <si>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</si>
  <si>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</si>
  <si>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</si>
  <si>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</si>
  <si>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</si>
  <si>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</si>
  <si>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</si>
  <si>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</si>
  <si>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</si>
  <si>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</si>
  <si>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</si>
  <si>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</si>
  <si>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</si>
  <si>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</si>
  <si>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</si>
  <si>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</si>
  <si>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</si>
  <si>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</si>
  <si>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</si>
  <si>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</si>
  <si>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</si>
  <si>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</si>
  <si>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</si>
  <si>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</si>
  <si>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</si>
  <si>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</si>
  <si>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</si>
  <si>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</si>
  <si>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</si>
  <si>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</si>
  <si>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</si>
  <si>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</si>
  <si>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</si>
  <si>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</si>
  <si>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</si>
  <si>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</si>
  <si>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</si>
  <si>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</si>
  <si>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</si>
  <si>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</si>
  <si>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</si>
  <si>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</si>
  <si>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</si>
  <si>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</si>
  <si>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</si>
  <si>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</si>
  <si>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</si>
  <si>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</si>
  <si>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</si>
  <si>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</si>
  <si>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</si>
  <si>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</si>
  <si>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</si>
  <si>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</si>
  <si>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</si>
  <si>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</si>
  <si>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</si>
  <si>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</si>
  <si>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</si>
  <si>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</si>
  <si>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</si>
  <si>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</si>
  <si>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</si>
  <si>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</si>
  <si>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</si>
  <si>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</si>
  <si>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</si>
  <si>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</si>
  <si>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</si>
  <si>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</si>
  <si>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</si>
  <si>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</si>
  <si>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</si>
  <si>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</si>
  <si>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</si>
  <si>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</si>
  <si>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</si>
  <si>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</si>
  <si>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</si>
  <si>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</si>
  <si>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</si>
  <si>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</si>
  <si>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</si>
  <si>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</si>
  <si>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</si>
  <si>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</si>
  <si>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</si>
  <si>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</si>
  <si>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</si>
  <si>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</si>
  <si>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</si>
  <si>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</si>
  <si>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</si>
  <si>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</si>
  <si>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</si>
  <si>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</si>
  <si>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</si>
  <si>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</si>
  <si>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</si>
  <si>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</si>
  <si>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</si>
  <si>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</si>
  <si>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</si>
  <si>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</si>
  <si>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</si>
  <si>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</si>
  <si>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</si>
  <si>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</si>
  <si>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</si>
  <si>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</si>
  <si>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</si>
  <si>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</si>
  <si>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</si>
  <si>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</si>
  <si>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</si>
  <si>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</si>
  <si>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</si>
  <si>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</si>
  <si>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</si>
  <si>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</si>
  <si>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</si>
  <si>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</si>
  <si>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</si>
  <si>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</si>
  <si>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</si>
  <si>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</si>
  <si>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</si>
  <si>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</si>
  <si>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</si>
  <si>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</si>
  <si>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</si>
  <si>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</si>
  <si>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</si>
  <si>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</si>
  <si>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</si>
  <si>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</si>
  <si>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</si>
  <si>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</si>
  <si>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</si>
  <si>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</si>
  <si>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</si>
  <si>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</si>
  <si>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</si>
  <si>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</si>
  <si>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</si>
  <si>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</si>
  <si>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</si>
  <si>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</si>
  <si>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</si>
  <si>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</si>
  <si>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</si>
  <si>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</si>
  <si>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</si>
  <si>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</si>
  <si>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</si>
  <si>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</si>
  <si>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</si>
  <si>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</si>
  <si>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</si>
  <si>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</si>
  <si>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</si>
  <si>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</si>
  <si>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</si>
  <si>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</si>
  <si>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</si>
  <si>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</si>
  <si>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</si>
  <si>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</si>
  <si>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</si>
  <si>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</si>
  <si>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</si>
  <si>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</si>
  <si>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</si>
  <si>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</si>
  <si>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</si>
  <si>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</si>
  <si>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</si>
  <si>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</si>
  <si>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</si>
  <si>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</si>
  <si>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</si>
  <si>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</si>
  <si>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</si>
  <si>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</si>
  <si>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</si>
  <si>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</si>
  <si>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</si>
  <si>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</si>
  <si>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</si>
  <si>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</si>
  <si>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</si>
  <si>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</si>
  <si>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</si>
  <si>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</si>
  <si>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</si>
  <si>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</si>
  <si>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</si>
  <si>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</si>
  <si>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</si>
  <si>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</si>
  <si>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</si>
  <si>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</si>
  <si>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</si>
  <si>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</si>
  <si>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</si>
  <si>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</si>
  <si>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</si>
  <si>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</si>
  <si>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</si>
  <si>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</si>
  <si>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</si>
  <si>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</si>
  <si>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</si>
  <si>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</si>
  <si>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</si>
  <si>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</si>
  <si>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</si>
  <si>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</si>
  <si>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</si>
  <si>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</si>
  <si>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</si>
  <si>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</si>
  <si>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</si>
  <si>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</si>
  <si>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</si>
  <si>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</si>
  <si>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</si>
  <si>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</si>
  <si>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</si>
  <si>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</si>
  <si>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</si>
  <si>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</si>
  <si>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</si>
  <si>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</si>
  <si>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</si>
  <si>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</si>
  <si>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</si>
  <si>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</si>
  <si>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</si>
  <si>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</si>
  <si>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</si>
  <si>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</si>
  <si>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</si>
  <si>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</si>
  <si>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</si>
  <si>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</si>
  <si>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</si>
  <si>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</si>
  <si>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</si>
  <si>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</si>
  <si>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</si>
  <si>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</si>
  <si>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</si>
  <si>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</si>
  <si>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</si>
  <si>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</si>
  <si>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</si>
  <si>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</si>
  <si>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</si>
  <si>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</si>
  <si>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</si>
  <si>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</si>
  <si>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</si>
  <si>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</si>
  <si>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</si>
  <si>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</si>
  <si>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</si>
  <si>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</si>
  <si>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</si>
  <si>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</si>
  <si>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</si>
  <si>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</si>
  <si>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</si>
  <si>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</si>
  <si>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</si>
  <si>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</si>
  <si>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</si>
  <si>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</si>
  <si>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</si>
  <si>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</si>
  <si>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</si>
  <si>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</si>
  <si>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</si>
  <si>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</si>
  <si>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</si>
  <si>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</si>
  <si>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</si>
  <si>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</si>
  <si>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</si>
  <si>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</si>
  <si>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</si>
  <si>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</si>
  <si>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</si>
  <si>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</si>
  <si>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</si>
  <si>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</si>
  <si>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</si>
  <si>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</si>
  <si>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</si>
  <si>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</si>
  <si>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</si>
  <si>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</si>
  <si>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</si>
  <si>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</si>
  <si>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</si>
  <si>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</si>
  <si>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</si>
  <si>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</si>
  <si>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</si>
  <si>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</si>
  <si>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</si>
  <si>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</si>
  <si>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</si>
  <si>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</si>
  <si>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</si>
  <si>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</si>
  <si>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</si>
  <si>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</si>
  <si>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</si>
  <si>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</si>
  <si>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</si>
  <si>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</si>
  <si>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</si>
  <si>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</si>
  <si>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</si>
  <si>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</si>
  <si>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</si>
  <si>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</si>
  <si>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</si>
  <si>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</si>
  <si>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</si>
  <si>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</si>
  <si>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</si>
  <si>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</si>
  <si>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</si>
  <si>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</si>
  <si>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</si>
  <si>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</si>
  <si>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</si>
  <si>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</si>
  <si>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</si>
  <si>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</si>
  <si>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</si>
  <si>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</si>
  <si>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</si>
  <si>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</si>
  <si>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</si>
  <si>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</si>
  <si>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</si>
  <si>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</si>
  <si>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</si>
  <si>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</si>
  <si>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</si>
  <si>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</si>
  <si>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</si>
  <si>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</si>
  <si>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</si>
  <si>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</si>
  <si>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</si>
  <si>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</si>
  <si>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</si>
  <si>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</si>
  <si>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</si>
  <si>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</si>
  <si>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</si>
  <si>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</si>
  <si>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</si>
  <si>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</si>
  <si>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</si>
  <si>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</si>
  <si>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</si>
  <si>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</si>
  <si>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</si>
  <si>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</si>
  <si>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</si>
  <si>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</si>
  <si>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</si>
  <si>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</si>
  <si>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</si>
  <si>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王鹏</t>
  </si>
  <si>
    <t>郑燚</t>
  </si>
  <si>
    <t>北京凯普林光电科技股份有限公司</t>
    <phoneticPr fontId="7" type="noConversion"/>
  </si>
  <si>
    <t>中国银行丰台支行</t>
    <phoneticPr fontId="7"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</si>
  <si>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</si>
  <si>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</si>
  <si>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</si>
  <si>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610</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套办公用房</t>
    </r>
    <phoneticPr fontId="7" type="noConversion"/>
  </si>
  <si>
    <t>企业</t>
  </si>
  <si>
    <t>出让</t>
  </si>
  <si>
    <t>办公</t>
    <phoneticPr fontId="7" type="noConversion"/>
  </si>
  <si>
    <r>
      <rPr>
        <sz val="12"/>
        <color theme="9" tint="-0.249977111117893"/>
        <rFont val="宋体"/>
        <family val="3"/>
        <charset val="134"/>
      </rPr>
      <t>办公</t>
    </r>
    <r>
      <rPr>
        <sz val="12"/>
        <color theme="9" tint="-0.249977111117893"/>
        <rFont val="Arial"/>
        <family val="2"/>
      </rPr>
      <t>42</t>
    </r>
    <r>
      <rPr>
        <sz val="12"/>
        <color theme="9" tint="-0.249977111117893"/>
        <rFont val="宋体"/>
        <family val="3"/>
        <charset val="134"/>
      </rPr>
      <t>年</t>
    </r>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</si>
  <si>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</si>
  <si>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</si>
  <si>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</si>
  <si>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</si>
  <si>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</si>
  <si>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</si>
  <si>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</si>
  <si>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</si>
  <si>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</si>
  <si>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</si>
  <si>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</si>
  <si>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</si>
  <si>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</si>
  <si>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</si>
  <si>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</si>
  <si>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</si>
  <si>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</si>
  <si>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</si>
  <si>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</si>
  <si>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</si>
  <si>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</si>
  <si>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</si>
  <si>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</si>
  <si>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</si>
  <si>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</si>
  <si>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</si>
  <si>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</si>
  <si>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</si>
  <si>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</si>
  <si>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</si>
  <si>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</si>
  <si>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</si>
  <si>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收益法</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</si>
  <si>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</si>
  <si>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</si>
  <si>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</si>
  <si>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</si>
  <si>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</si>
  <si>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</si>
  <si>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</si>
  <si>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</si>
  <si>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</si>
  <si>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</si>
  <si>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</si>
  <si>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</si>
  <si>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</si>
  <si>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</si>
  <si>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</si>
  <si>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</si>
  <si>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</si>
  <si>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</si>
  <si>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</si>
  <si>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</si>
  <si>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</si>
  <si>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</si>
  <si>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</si>
  <si>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</si>
  <si>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</si>
  <si>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</si>
  <si>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</si>
  <si>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</si>
  <si>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</si>
  <si>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</si>
  <si>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</si>
  <si>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</si>
  <si>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</si>
  <si>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</si>
  <si>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</si>
  <si>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</si>
  <si>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</si>
  <si>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</si>
  <si>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</si>
  <si>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</si>
  <si>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</si>
  <si>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</si>
  <si>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</si>
  <si>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</si>
  <si>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</si>
  <si>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</si>
  <si>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</si>
  <si>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</si>
  <si>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</si>
  <si>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</si>
  <si>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</si>
  <si>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</si>
  <si>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</si>
  <si>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</si>
  <si>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</si>
  <si>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</si>
  <si>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</si>
  <si>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</si>
  <si>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</si>
  <si>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</si>
  <si>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</si>
  <si>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</si>
  <si>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</si>
  <si>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</si>
  <si>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</si>
  <si>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</si>
  <si>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</si>
  <si>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</si>
  <si>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</si>
  <si>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</si>
  <si>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</si>
  <si>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</si>
  <si>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</si>
  <si>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</si>
  <si>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</si>
  <si>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</si>
  <si>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华夏幸福创新中心</t>
    <phoneticPr fontId="4" type="noConversion"/>
  </si>
  <si>
    <t>城市次干道——五圈路</t>
    <phoneticPr fontId="33" type="noConversion"/>
  </si>
  <si>
    <t>盈坤世纪</t>
    <phoneticPr fontId="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</si>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</sst>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北京市丰台区南四环西路128号院2号楼5层610等4套办公用房房地产抵押价值预评估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受贵公司委托，我公司对北京市丰台区南四环西路128号院2号楼5层610等4套办公用房房地产抵押价值进行了预评估。</v>
      </c>
    </row>
    <row r="7" spans="1:2" s="1591" customFormat="1">
      <c r="A7" s="1589" t="s">
        <v>1260</v>
      </c>
      <c r="B7" s="1590" t="str">
        <f>'预评函-1'!A7</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为估价委托人在向中国银行丰台支行办理贷款手续过程中，确定房地产抵押贷款额度提供参考依据而评估房地产抵押价值。</v>
      </c>
    </row>
    <row r="12" spans="1:2" s="1591" customFormat="1">
      <c r="A12" s="1589" t="s">
        <v>1222</v>
      </c>
      <c r="B12" s="1590" t="str">
        <f>'预评函-1'!A15</f>
        <v>2019年9月10日（评估专业人员实地查勘之日）</v>
      </c>
    </row>
    <row r="13" spans="1:2" s="1591" customFormat="1">
      <c r="A13" s="1589" t="s">
        <v>1223</v>
      </c>
      <c r="B13" s="1590" t="str">
        <f>'预评函-1'!A18</f>
        <v>本次估价的“房地产价值”是指在正常市场情况下，在价值时点2019年9月10日，估价对象规划用途为办公，土地取得方式为出让，出让国有建设用地使用权剩余土地使用年限为办公42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1793</v>
      </c>
    </row>
    <row r="21" spans="1:2" s="1591" customFormat="1">
      <c r="A21" s="1589" t="s">
        <v>1231</v>
      </c>
      <c r="B21" s="1590">
        <f ca="1">'预评函-2'!D7</f>
        <v>41198</v>
      </c>
    </row>
    <row r="22" spans="1:2" s="1591" customFormat="1">
      <c r="A22" s="1589" t="s">
        <v>1232</v>
      </c>
      <c r="B22" s="1590" t="str">
        <f ca="1">'预评函-2'!D6</f>
        <v>壹仟柒佰玖拾叁万元整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1793</v>
      </c>
    </row>
    <row r="31" spans="1:2" s="1591" customFormat="1">
      <c r="A31" s="1589" t="s">
        <v>1270</v>
      </c>
      <c r="B31" s="1590">
        <f ca="1">'预评函-2'!D15</f>
        <v>41198</v>
      </c>
    </row>
    <row r="32" spans="1:2" s="1591" customFormat="1">
      <c r="A32" s="1589" t="s">
        <v>1237</v>
      </c>
      <c r="B32" s="1590" t="str">
        <f ca="1">'预评函-2'!D14</f>
        <v>壹仟柒佰玖拾叁万元整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北京市丰台区南四环西路128号院2号楼5层610等4套办公用房房地产</v>
      </c>
    </row>
    <row r="42" spans="1:2" s="1591" customFormat="1">
      <c r="A42" s="1589" t="s">
        <v>1284</v>
      </c>
      <c r="B42" s="1590" t="str">
        <f>'预评函-3'!B2</f>
        <v>建筑面积</v>
      </c>
    </row>
    <row r="43" spans="1:2" s="1591" customFormat="1">
      <c r="A43" s="1589" t="s">
        <v>1285</v>
      </c>
      <c r="B43" s="1590">
        <f>'预评函-3'!B4</f>
        <v>435.22</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3190</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610等4套办公用房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5"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5"/>
      <c r="B54" s="2019" t="s">
        <v>861</v>
      </c>
      <c r="C54" s="2016" t="s">
        <v>1277</v>
      </c>
    </row>
    <row r="55" spans="1:4">
      <c r="A55" s="3045"/>
      <c r="B55" s="2019" t="s">
        <v>862</v>
      </c>
      <c r="C55" s="2016" t="s">
        <v>1278</v>
      </c>
    </row>
    <row r="56" spans="1:4">
      <c r="A56" s="3045"/>
      <c r="B56" s="2019" t="s">
        <v>863</v>
      </c>
      <c r="C56" s="2016" t="s">
        <v>1282</v>
      </c>
    </row>
    <row r="57" spans="1:4">
      <c r="A57" s="3045"/>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4" t="str">
        <f>IF(B10="北京市","北京市",C10)&amp;F10&amp;IF(结果表!G1="在建","出让国有建设用地使用权及在建建筑物",IF(结果表!G1="土地","出让国有建设用地使用权",))&amp;B9&amp;"预评估"</f>
        <v>北京市丰台区南四环西路128号院2号楼5层610等4套办公用房房地产抵押价值预评估</v>
      </c>
      <c r="C1" s="3055"/>
      <c r="D1" s="3055"/>
      <c r="E1" s="3055"/>
      <c r="F1" s="3055"/>
      <c r="G1" s="3055"/>
      <c r="H1" s="3055"/>
      <c r="I1" s="305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北京市丰台区南四环西路128号院2号楼5层610等4套办公用房房地产抵押价值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北京市丰台区南四环西路128号院2号楼5层610等4套办公用房房地产</v>
      </c>
    </row>
    <row r="3" spans="1:19" ht="18" customHeight="1">
      <c r="A3" s="2032" t="s">
        <v>1773</v>
      </c>
      <c r="B3" s="2033">
        <v>43718</v>
      </c>
      <c r="C3" s="2034" t="s">
        <v>1774</v>
      </c>
      <c r="D3" s="2033">
        <v>43718</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6">
        <f ca="1">SUMIF(注册房地产估价师,B4,估价师及机构信息!B3:B24)</f>
        <v>1120050019</v>
      </c>
      <c r="D4" s="2036" t="s">
        <v>3044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8"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0" t="s">
        <v>3046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9" t="s">
        <v>3045</v>
      </c>
      <c r="C7" s="2045"/>
      <c r="D7" s="2046"/>
      <c r="E7" s="2031"/>
      <c r="F7" s="2039"/>
      <c r="G7" s="2039"/>
      <c r="H7" s="2039"/>
      <c r="I7" s="2039"/>
      <c r="J7" s="2039"/>
      <c r="K7" s="2048"/>
      <c r="L7" s="2025"/>
      <c r="M7" s="2025"/>
      <c r="N7" s="2026"/>
      <c r="O7" s="2027"/>
      <c r="P7" s="2026"/>
      <c r="Q7" s="2026"/>
      <c r="R7" s="2026"/>
    </row>
    <row r="8" spans="1:19" ht="18" customHeight="1">
      <c r="A8" s="2044" t="s">
        <v>1779</v>
      </c>
      <c r="B8" s="2049" t="s">
        <v>3047</v>
      </c>
      <c r="C8" s="2050"/>
      <c r="D8" s="3057" t="s">
        <v>1780</v>
      </c>
      <c r="E8" s="2051" t="s">
        <v>3048</v>
      </c>
      <c r="F8" s="2052"/>
      <c r="G8" s="2023"/>
      <c r="H8" s="2023"/>
      <c r="I8" s="2023"/>
      <c r="J8" s="2039"/>
      <c r="K8" s="2040"/>
      <c r="L8" s="2025"/>
      <c r="M8" s="2025"/>
      <c r="N8" s="2026"/>
      <c r="O8" s="2027"/>
      <c r="P8" s="2026"/>
      <c r="Q8" s="2026"/>
      <c r="R8" s="2026"/>
    </row>
    <row r="9" spans="1:19" ht="18" customHeight="1" thickBot="1">
      <c r="A9" s="2037" t="s">
        <v>1781</v>
      </c>
      <c r="B9" s="2053" t="s">
        <v>3048</v>
      </c>
      <c r="C9" s="2054"/>
      <c r="D9" s="3058"/>
      <c r="E9" s="2053" t="s">
        <v>70</v>
      </c>
      <c r="F9" s="2055"/>
      <c r="G9" s="2056"/>
      <c r="H9" s="2056"/>
      <c r="I9" s="2056"/>
      <c r="J9" s="2039"/>
      <c r="K9" s="2048"/>
      <c r="L9" s="2025"/>
      <c r="M9" s="2025"/>
      <c r="N9" s="2026"/>
      <c r="O9" s="2027"/>
      <c r="P9" s="2026"/>
      <c r="Q9" s="2026"/>
      <c r="R9" s="2026"/>
    </row>
    <row r="10" spans="1:19" ht="18" customHeight="1" thickTop="1">
      <c r="A10" s="2057" t="s">
        <v>1782</v>
      </c>
      <c r="B10" s="2058" t="s">
        <v>3049</v>
      </c>
      <c r="C10" s="2059"/>
      <c r="D10" s="2043"/>
      <c r="E10" s="2060" t="s">
        <v>1783</v>
      </c>
      <c r="F10" s="2061" t="s">
        <v>3050</v>
      </c>
      <c r="G10" s="2062"/>
      <c r="H10" s="2063"/>
      <c r="I10" s="2043"/>
      <c r="J10" s="2039"/>
      <c r="K10" s="2048"/>
      <c r="L10" s="2025"/>
      <c r="M10" s="2025"/>
      <c r="N10" s="2026"/>
      <c r="O10" s="2027"/>
      <c r="P10" s="2026"/>
      <c r="Q10" s="2026"/>
      <c r="R10" s="2026"/>
    </row>
    <row r="11" spans="1:19" ht="18" customHeight="1">
      <c r="A11" s="2064" t="s">
        <v>1784</v>
      </c>
      <c r="B11" s="2065" t="s">
        <v>3051</v>
      </c>
      <c r="C11" s="2961" t="s">
        <v>3045</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3052</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340">
        <v>58685</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4" t="s">
        <v>3053</v>
      </c>
      <c r="C16" s="3065"/>
      <c r="D16" s="3066"/>
      <c r="E16" s="2079" t="s">
        <v>1797</v>
      </c>
      <c r="F16" s="3067" t="s">
        <v>3054</v>
      </c>
      <c r="G16" s="3068"/>
      <c r="H16" s="3068"/>
      <c r="I16" s="3069"/>
      <c r="J16" s="2026"/>
      <c r="K16" s="2076"/>
      <c r="L16" s="2077"/>
      <c r="M16" s="2077"/>
      <c r="N16" s="2078"/>
      <c r="O16" s="2077"/>
      <c r="P16" s="2078"/>
      <c r="Q16" s="2026"/>
      <c r="R16" s="2026"/>
    </row>
    <row r="17" spans="1:22" ht="18" customHeight="1">
      <c r="A17" s="2080" t="s">
        <v>1798</v>
      </c>
      <c r="B17" s="2032" t="s">
        <v>1799</v>
      </c>
      <c r="C17" s="1053">
        <f>'数据-汇总表'!E3</f>
        <v>435.22</v>
      </c>
      <c r="D17" s="2081" t="s">
        <v>1800</v>
      </c>
      <c r="E17" s="3070" t="s">
        <v>3070</v>
      </c>
      <c r="F17" s="3071"/>
      <c r="G17" s="3071"/>
      <c r="H17" s="3071"/>
      <c r="I17" s="3072"/>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73" t="s">
        <v>1803</v>
      </c>
      <c r="F18" s="3074"/>
      <c r="G18" s="3074"/>
      <c r="H18" s="3074"/>
      <c r="I18" s="3075"/>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3055</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60" t="s">
        <v>1808</v>
      </c>
      <c r="C20" s="3061"/>
      <c r="D20" s="3062" t="s">
        <v>1809</v>
      </c>
      <c r="E20" s="3063"/>
      <c r="F20" s="2091" t="s">
        <v>1810</v>
      </c>
      <c r="G20" s="2039"/>
      <c r="H20" s="2039"/>
      <c r="I20" s="2039"/>
      <c r="J20" s="2039"/>
      <c r="K20" s="3059"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3056</v>
      </c>
      <c r="C21" s="2093" t="s">
        <v>3057</v>
      </c>
      <c r="D21" s="2094"/>
      <c r="E21" s="2095"/>
      <c r="F21" s="2096"/>
      <c r="G21" s="2039"/>
      <c r="H21" s="2039"/>
      <c r="I21" s="2039"/>
      <c r="J21" s="2039"/>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47" t="s">
        <v>1818</v>
      </c>
      <c r="B27" s="2057" t="s">
        <v>1819</v>
      </c>
      <c r="C27" s="2113" t="s">
        <v>3058</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47"/>
      <c r="B28" s="2032" t="s">
        <v>1820</v>
      </c>
      <c r="C28" s="2115" t="s">
        <v>3059</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47"/>
      <c r="B29" s="2032" t="s">
        <v>1821</v>
      </c>
      <c r="C29" s="2118" t="s">
        <v>3055</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48"/>
      <c r="B30" s="2032" t="s">
        <v>1822</v>
      </c>
      <c r="C30" s="3049"/>
      <c r="D30" s="3050"/>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51" t="s">
        <v>1823</v>
      </c>
      <c r="B31" s="2120" t="s">
        <v>3060</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52"/>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52"/>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3061</v>
      </c>
      <c r="C34" s="2127" t="s">
        <v>3062</v>
      </c>
      <c r="D34" s="2127" t="s">
        <v>3066</v>
      </c>
      <c r="E34" s="2127" t="s">
        <v>3063</v>
      </c>
      <c r="F34" s="2127" t="s">
        <v>3064</v>
      </c>
      <c r="G34" s="2127" t="s">
        <v>3065</v>
      </c>
      <c r="H34" s="2127"/>
      <c r="I34" s="2039"/>
      <c r="J34" s="2039"/>
      <c r="K34" s="1793">
        <f>COUNTIF(B34:H34,"——")</f>
        <v>0</v>
      </c>
      <c r="L34" s="2068" t="s">
        <v>1825</v>
      </c>
      <c r="M34" s="2068" t="s">
        <v>1826</v>
      </c>
      <c r="N34" s="2068" t="s">
        <v>1827</v>
      </c>
      <c r="O34" s="2068" t="s">
        <v>1828</v>
      </c>
      <c r="P34" s="2068" t="s">
        <v>1829</v>
      </c>
      <c r="Q34" s="2068" t="s">
        <v>1830</v>
      </c>
      <c r="R34" s="2068" t="s">
        <v>1831</v>
      </c>
      <c r="S34" s="3046" t="s">
        <v>1832</v>
      </c>
      <c r="T34" s="2128" t="str">
        <f>NUMBERSTRING(7-K34,1)&amp;"通"</f>
        <v>七通</v>
      </c>
      <c r="U34" s="2026"/>
      <c r="V34" s="2026"/>
    </row>
    <row r="35" spans="1:22" ht="18" customHeight="1">
      <c r="A35" s="2129"/>
      <c r="B35" s="3053" t="s">
        <v>1833</v>
      </c>
      <c r="C35" s="3053"/>
      <c r="D35" s="3053"/>
      <c r="E35" s="3053"/>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6"/>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E18" sqref="E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435.22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1"/>
      <c r="C5" s="1801"/>
      <c r="D5" s="1804"/>
      <c r="E5" s="16" t="s">
        <v>1</v>
      </c>
      <c r="F5" s="16">
        <f>SUM(F13:F587)</f>
        <v>0</v>
      </c>
      <c r="G5" s="16">
        <f>SUM(G13:G587)</f>
        <v>435.22</v>
      </c>
      <c r="H5" s="16">
        <f t="shared" ref="H5:AT5" si="0">SUM(H13:H656)</f>
        <v>435.22</v>
      </c>
      <c r="I5" s="16">
        <f t="shared" si="0"/>
        <v>435.22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435.22</v>
      </c>
      <c r="BA5" s="18">
        <f t="shared" si="1"/>
        <v>435.22</v>
      </c>
      <c r="BB5" s="18">
        <f t="shared" si="1"/>
        <v>435.22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1889</v>
      </c>
      <c r="I9" s="2185" t="s">
        <v>3069</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62" t="s">
        <v>3068</v>
      </c>
      <c r="D13" s="2207" t="s">
        <v>3067</v>
      </c>
      <c r="E13" s="16">
        <f>IF($C$3="是",ROUND($A$3*G13/$B$3,2),ROUND($A$3*(G13-AT13)/$B$3,2))</f>
        <v>0</v>
      </c>
      <c r="F13" s="32"/>
      <c r="G13" s="33">
        <f>H13+AC13+AT13</f>
        <v>78.53</v>
      </c>
      <c r="H13" s="20">
        <f>SUMIF(I$12:AB$12,"总值",I13:AB13)</f>
        <v>78.53</v>
      </c>
      <c r="I13" s="2208">
        <v>78.53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78.53</v>
      </c>
      <c r="BA13" s="16">
        <f>SUM(BB13:BK13)</f>
        <v>78.53</v>
      </c>
      <c r="BB13" s="16">
        <f>IF($D13="是",I13-J13,0)</f>
        <v>78.53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62" t="s">
        <v>184</v>
      </c>
      <c r="D14" s="2207" t="s">
        <v>3067</v>
      </c>
      <c r="E14" s="16">
        <f>IF($C$3="是",ROUND($A$3*G14/$B$3,2),ROUND($A$3*(G14-AT14)/$B$3,2))</f>
        <v>0</v>
      </c>
      <c r="F14" s="32"/>
      <c r="G14" s="33">
        <f>H14+AC14+AT14</f>
        <v>119.78</v>
      </c>
      <c r="H14" s="20">
        <f>SUMIF(I$12:AB$12,"总值",I14:AB14)</f>
        <v>119.78</v>
      </c>
      <c r="I14" s="2208">
        <f>面积!F8</f>
        <v>119.78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C16</f>
        <v>办公</v>
      </c>
      <c r="AY14" s="1804">
        <f>ROUND($AY$6*AZ14/$AZ$5,2)</f>
        <v>0</v>
      </c>
      <c r="AZ14" s="16">
        <f>BA14+BL14</f>
        <v>119.78</v>
      </c>
      <c r="BA14" s="16">
        <f>SUM(BB14:BK14)</f>
        <v>119.78</v>
      </c>
      <c r="BB14" s="16">
        <f>IF($D14="是",I14-J14,0)</f>
        <v>119.78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62" t="s">
        <v>184</v>
      </c>
      <c r="D15" s="2207" t="s">
        <v>3067</v>
      </c>
      <c r="E15" s="16">
        <f>IF($C$3="是",ROUND($A$3*G15/$B$3,2),ROUND($A$3*(G15-AT15)/$B$3,2))</f>
        <v>0</v>
      </c>
      <c r="F15" s="32"/>
      <c r="G15" s="33">
        <f>H15+AC15+AT15</f>
        <v>78.53</v>
      </c>
      <c r="H15" s="20">
        <f>SUMIF(I$12:AB$12,"总值",I15:AB15)</f>
        <v>78.53</v>
      </c>
      <c r="I15" s="2208">
        <f>面积!F9</f>
        <v>78.53</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78.53</v>
      </c>
      <c r="BA15" s="16">
        <f>SUM(BB15:BK15)</f>
        <v>78.53</v>
      </c>
      <c r="BB15" s="16">
        <f>IF($D15="是",I15-J15,0)</f>
        <v>78.53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62" t="s">
        <v>184</v>
      </c>
      <c r="D16" s="2207" t="s">
        <v>3067</v>
      </c>
      <c r="E16" s="16">
        <f>IF($C$3="是",ROUND($A$3*G16/$B$3,2),ROUND($A$3*(G16-AT16)/$B$3,2))</f>
        <v>0</v>
      </c>
      <c r="F16" s="32"/>
      <c r="G16" s="33">
        <f>H16+AC16+AT16</f>
        <v>158.38</v>
      </c>
      <c r="H16" s="20">
        <f>SUMIF(I$12:AB$12,"总值",I16:AB16)</f>
        <v>158.38</v>
      </c>
      <c r="I16" s="2208">
        <f>面积!F10</f>
        <v>158.38</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158.38</v>
      </c>
      <c r="BA16" s="16">
        <f>SUM(BB16:BK16)</f>
        <v>158.38</v>
      </c>
      <c r="BB16" s="16">
        <f>IF($D16="是",I16-J16,0)</f>
        <v>158.38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90"/>
      <c r="C1" s="1390"/>
      <c r="D1" s="1390"/>
      <c r="E1" s="1390"/>
      <c r="F1" s="1390"/>
      <c r="G1" s="1390"/>
      <c r="H1" s="1390"/>
      <c r="I1" s="1390"/>
      <c r="J1" s="1390"/>
      <c r="K1" s="1390"/>
      <c r="L1" s="1390"/>
      <c r="M1" s="1390"/>
      <c r="N1" s="1390"/>
      <c r="O1" s="1390"/>
      <c r="P1" s="1390"/>
    </row>
    <row r="2" spans="1:16" ht="15">
      <c r="A2" s="3087" t="s">
        <v>1929</v>
      </c>
      <c r="B2" s="3087"/>
      <c r="C2" s="3087"/>
      <c r="D2" s="966" t="s">
        <v>1905</v>
      </c>
      <c r="E2" s="2221" t="s">
        <v>1906</v>
      </c>
      <c r="F2" s="1390"/>
      <c r="G2" s="2222"/>
      <c r="H2" s="2223"/>
      <c r="I2" s="2224" t="s">
        <v>1930</v>
      </c>
      <c r="J2" s="1390"/>
      <c r="K2" s="1390"/>
      <c r="L2" s="1390"/>
      <c r="M2" s="1390"/>
      <c r="N2" s="1425"/>
      <c r="O2" s="1390"/>
      <c r="P2" s="1390"/>
    </row>
    <row r="3" spans="1:16" ht="15.75" thickBot="1">
      <c r="A3" s="3088" t="s">
        <v>1903</v>
      </c>
      <c r="B3" s="3088"/>
      <c r="C3" s="3088"/>
      <c r="D3" s="46">
        <f>'数据-基础表'!AY6</f>
        <v>0</v>
      </c>
      <c r="E3" s="46">
        <f>'数据-基础表'!AZ5</f>
        <v>435.22</v>
      </c>
      <c r="F3" s="1390"/>
      <c r="G3" s="1397"/>
      <c r="H3" s="1245" t="s">
        <v>1904</v>
      </c>
      <c r="I3" s="55" t="e">
        <f>ROUND('数据-基础表'!B3/'数据-基础表'!A3,2)</f>
        <v>#DIV/0!</v>
      </c>
      <c r="J3" s="1390"/>
      <c r="K3" s="1390"/>
      <c r="L3" s="1390"/>
      <c r="M3" s="1390"/>
      <c r="N3" s="1425"/>
      <c r="O3" s="1390"/>
      <c r="P3" s="1390"/>
    </row>
    <row r="4" spans="1:16" ht="15">
      <c r="A4" s="3089"/>
      <c r="B4" s="3090"/>
      <c r="C4" s="3091"/>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c r="A5" s="47" t="s">
        <v>1907</v>
      </c>
      <c r="B5" s="3092" t="s">
        <v>1908</v>
      </c>
      <c r="C5" s="3092"/>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092" t="s">
        <v>1909</v>
      </c>
      <c r="C6" s="3092"/>
      <c r="D6" s="48">
        <f>ROUND($D$3*E6/$E$3,2)</f>
        <v>0</v>
      </c>
      <c r="E6" s="49">
        <f>E3-E5</f>
        <v>435.22</v>
      </c>
      <c r="F6" s="1390"/>
      <c r="G6" s="2229" t="s">
        <v>1910</v>
      </c>
      <c r="H6" s="1397" t="s">
        <v>1911</v>
      </c>
      <c r="I6" s="938" t="e">
        <f>ROUND(F31/D31,2)</f>
        <v>#DIV/0!</v>
      </c>
      <c r="J6" s="1390"/>
      <c r="K6" s="1390"/>
      <c r="L6" s="1390"/>
      <c r="M6" s="1390"/>
      <c r="N6" s="1390"/>
      <c r="O6" s="1390"/>
      <c r="P6" s="1390"/>
    </row>
    <row r="7" spans="1:16" ht="15">
      <c r="A7" s="3084"/>
      <c r="B7" s="3085"/>
      <c r="C7" s="3086"/>
      <c r="D7" s="2225" t="s">
        <v>1905</v>
      </c>
      <c r="E7" s="2230" t="s">
        <v>1912</v>
      </c>
      <c r="F7" s="1390"/>
      <c r="G7" s="2222" t="s">
        <v>1913</v>
      </c>
      <c r="H7" s="64"/>
      <c r="I7" s="420">
        <v>5.4</v>
      </c>
      <c r="J7" s="1390"/>
      <c r="K7" s="1390"/>
      <c r="L7" s="1390"/>
      <c r="M7" s="1390"/>
      <c r="N7" s="1390"/>
      <c r="O7" s="1390"/>
      <c r="P7" s="1390"/>
    </row>
    <row r="8" spans="1:16">
      <c r="A8" s="47" t="s">
        <v>1914</v>
      </c>
      <c r="B8" s="50" t="s">
        <v>1915</v>
      </c>
      <c r="C8" s="48" t="s">
        <v>1916</v>
      </c>
      <c r="D8" s="48">
        <f t="shared" ref="D8:D15" si="0">ROUND($D$3*E8/$E$3,2)</f>
        <v>0</v>
      </c>
      <c r="E8" s="51">
        <f>SUMIF('数据-基础表'!BB10:BK10,"地上",'数据-基础表'!BB5:BK5)</f>
        <v>435.22</v>
      </c>
      <c r="F8" s="1390"/>
      <c r="G8" s="2231"/>
      <c r="H8" s="2231"/>
      <c r="I8" s="1390"/>
      <c r="J8" s="1390"/>
      <c r="K8" s="1390"/>
      <c r="L8" s="1390"/>
      <c r="M8" s="1390"/>
      <c r="N8" s="1390"/>
      <c r="O8" s="1390"/>
      <c r="P8" s="1390"/>
    </row>
    <row r="9" spans="1:16">
      <c r="A9" s="2232"/>
      <c r="B9" s="2233"/>
      <c r="C9" s="48" t="s">
        <v>1917</v>
      </c>
      <c r="D9" s="48">
        <f t="shared" si="0"/>
        <v>0</v>
      </c>
      <c r="E9" s="52">
        <v>0</v>
      </c>
      <c r="F9" s="1390"/>
      <c r="G9" s="2231"/>
      <c r="H9" s="2231"/>
      <c r="I9" s="1390"/>
      <c r="J9" s="1390"/>
      <c r="K9" s="1390"/>
      <c r="L9" s="1390"/>
      <c r="M9" s="1390"/>
      <c r="N9" s="1390"/>
      <c r="O9" s="1390"/>
      <c r="P9" s="1390"/>
    </row>
    <row r="10" spans="1:16">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1921</v>
      </c>
      <c r="D16" s="50">
        <f>SUM(D8:D15)</f>
        <v>0</v>
      </c>
      <c r="E16" s="53">
        <f>SUM(E8:E15)</f>
        <v>435.22</v>
      </c>
      <c r="F16" s="1390"/>
      <c r="G16" s="2231"/>
      <c r="H16" s="2234" t="s">
        <v>1933</v>
      </c>
      <c r="I16" s="2235"/>
      <c r="J16" s="1390"/>
      <c r="K16" s="3081" t="s">
        <v>1933</v>
      </c>
      <c r="L16" s="3082"/>
      <c r="M16" s="3082"/>
      <c r="N16" s="3082"/>
      <c r="O16" s="3082"/>
      <c r="P16" s="3083"/>
    </row>
    <row r="17" spans="1:19" ht="15">
      <c r="A17" s="2236" t="s">
        <v>1934</v>
      </c>
      <c r="B17" s="2237" t="s">
        <v>1935</v>
      </c>
      <c r="C17" s="2238" t="s">
        <v>1936</v>
      </c>
      <c r="D17" s="2239" t="s">
        <v>1924</v>
      </c>
      <c r="E17" s="2240" t="s">
        <v>1925</v>
      </c>
      <c r="F17" s="2241"/>
      <c r="G17" s="2242"/>
      <c r="H17" s="2243" t="s">
        <v>1937</v>
      </c>
      <c r="I17" s="2244" t="s">
        <v>1922</v>
      </c>
      <c r="J17" s="1390"/>
      <c r="K17" s="3078" t="s">
        <v>1938</v>
      </c>
      <c r="L17" s="3079"/>
      <c r="M17" s="3080"/>
      <c r="N17" s="3078" t="s">
        <v>1939</v>
      </c>
      <c r="O17" s="3079"/>
      <c r="P17" s="3080"/>
      <c r="R17" s="2222" t="s">
        <v>1940</v>
      </c>
      <c r="S17" s="64"/>
    </row>
    <row r="18" spans="1:19" ht="15">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c r="A19" s="2253"/>
      <c r="B19" s="50" t="s">
        <v>1923</v>
      </c>
      <c r="C19" s="2254" t="str">
        <f>'数据-基础表'!C13</f>
        <v>办公</v>
      </c>
      <c r="D19" s="48">
        <f>ROUND($D$3*E19/$E$3,2)</f>
        <v>0</v>
      </c>
      <c r="E19" s="56">
        <f t="shared" ref="E19:E26" si="1">SUM(F19:G19)</f>
        <v>78.53</v>
      </c>
      <c r="F19" s="57">
        <f>'数据-基础表'!I13</f>
        <v>78.53</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78.53</v>
      </c>
    </row>
    <row r="20" spans="1:19">
      <c r="A20" s="2257"/>
      <c r="B20" s="50" t="s">
        <v>1951</v>
      </c>
      <c r="C20" s="3341" t="s">
        <v>3191</v>
      </c>
      <c r="D20" s="48">
        <f t="shared" ref="D20:D26" si="6">ROUND($D$3*E20/$E$3,2)</f>
        <v>0</v>
      </c>
      <c r="E20" s="56">
        <f t="shared" si="1"/>
        <v>356.69</v>
      </c>
      <c r="F20" s="57">
        <f>'数据-基础表'!I14+'数据-基础表'!I15+'数据-基础表'!I16</f>
        <v>356.69</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356.69</v>
      </c>
    </row>
    <row r="21" spans="1:19">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1952</v>
      </c>
      <c r="D27" s="1391">
        <f>SUM(D19:D26)</f>
        <v>0</v>
      </c>
      <c r="E27" s="1392">
        <f>IF(SUM(E19:E26)='数据-基础表'!BA5,SUM(E19:E26),IF(F27="地上面积有误","面积有误","地下面积有误"))</f>
        <v>435.22</v>
      </c>
      <c r="F27" s="1391">
        <f>IF(SUM(F19:F26)=E8,SUM(F19:F26),"地上面积有误")</f>
        <v>435.22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435.22</v>
      </c>
    </row>
    <row r="28" spans="1:19">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1956</v>
      </c>
      <c r="D31" s="728">
        <f>D27+D30</f>
        <v>0</v>
      </c>
      <c r="E31" s="728">
        <f>E27+E30</f>
        <v>435.22</v>
      </c>
      <c r="F31" s="729">
        <f>F27+F30</f>
        <v>435.22</v>
      </c>
      <c r="G31" s="730">
        <f>G27+G30</f>
        <v>0</v>
      </c>
      <c r="H31" s="1390"/>
      <c r="I31" s="1390"/>
      <c r="J31" s="1390"/>
      <c r="K31" s="1390"/>
      <c r="L31" s="1390"/>
      <c r="M31" s="1390"/>
      <c r="N31" s="1390"/>
      <c r="O31" s="1390"/>
      <c r="P31" s="1390"/>
    </row>
    <row r="32" spans="1:19">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25" sqref="I25"/>
      <selection pane="topRight" activeCell="I25" sqref="I25"/>
      <selection pane="bottomLeft" activeCell="I25" sqref="I25"/>
      <selection pane="bottomRight" activeCell="B22" sqref="B2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1959</v>
      </c>
      <c r="B2" s="1264">
        <f>项目基本情况!D3</f>
        <v>43718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3086</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58685</v>
      </c>
      <c r="F6" s="72">
        <f>SUMIF(项目基本情况!D$12:I$12,C6,项目基本情况!D$15:I$15)</f>
        <v>41</v>
      </c>
      <c r="G6" s="73">
        <f>IF(ISERROR(ROUND(POWER(1+H6,D6-F6)*(POWER(1+H6,F6)-1)/(POWER(1+H6,D6)-1),3)),0,ROUND(POWER(1+H6,D6-F6)*(POWER(1+H6,F6)-1)/(POWER(1+H6,D6)-1),3))</f>
        <v>0.93899999999999995</v>
      </c>
      <c r="H6" s="801">
        <v>4.4999999999999998E-2</v>
      </c>
      <c r="I6" s="801">
        <v>0.05</v>
      </c>
      <c r="J6" s="74">
        <v>0.08</v>
      </c>
      <c r="K6" s="1249">
        <f>SUMIF('数据-汇总表'!C$19:C$33,A6,'数据-汇总表'!E$19:E$33)</f>
        <v>78.53</v>
      </c>
      <c r="L6" s="802">
        <v>3000</v>
      </c>
      <c r="M6" s="75">
        <f t="shared" ref="M6:M14" si="0">ROUND(K6*L6/10000,0)</f>
        <v>24</v>
      </c>
      <c r="N6" s="800">
        <f>N20</f>
        <v>0.88</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5.4</v>
      </c>
      <c r="V6" s="79">
        <v>0.03</v>
      </c>
      <c r="W6" s="79">
        <v>0.1</v>
      </c>
      <c r="X6" s="1259"/>
      <c r="Y6" s="80">
        <f>N6</f>
        <v>0.88</v>
      </c>
      <c r="Z6" s="81"/>
      <c r="AA6" s="74"/>
      <c r="AB6" s="74"/>
      <c r="AC6" s="1259"/>
      <c r="AD6" s="82"/>
      <c r="AE6" s="1260">
        <f ca="1">IF(AN6="",0,SUMIF(INDIRECT("'"&amp;AN6&amp;"'"&amp;"!E:E"),$AE$5,INDIRECT("'"&amp;AN6&amp;"'"&amp;"!F:F")))</f>
        <v>41</v>
      </c>
      <c r="AF6" s="1802"/>
      <c r="AG6" s="147">
        <f>IF(AF6="",0,AE6-AF6)</f>
        <v>0</v>
      </c>
      <c r="AH6" s="83"/>
      <c r="AI6" s="85">
        <v>365</v>
      </c>
      <c r="AJ6" s="86"/>
      <c r="AK6" s="87">
        <v>1.4999999999999999E-2</v>
      </c>
      <c r="AL6" s="88">
        <v>1.5E-3</v>
      </c>
      <c r="AM6" s="89">
        <v>0.01</v>
      </c>
      <c r="AN6" s="2303" t="s">
        <v>3087</v>
      </c>
      <c r="AO6" s="55">
        <f ca="1">SUMIF(INDIRECT("'"&amp;AN6&amp;"'"&amp;"!A:A"),"总价",INDIRECT("'"&amp;AN6&amp;"'"&amp;"!B:B"))</f>
        <v>300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356.69</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4"/>
      <c r="D16" s="2308"/>
      <c r="E16" s="97"/>
      <c r="F16" s="97"/>
      <c r="G16" s="98">
        <f>ROUND(SUMPRODUCT(G6:G13,K6:K13)/SUMPRODUCT((G6:G13&gt;0)*(K6:K13)),3)</f>
        <v>0.93899999999999995</v>
      </c>
      <c r="H16" s="99">
        <f>ROUND(SUMPRODUCT(H6:H13,K6:K13)/SUMPRODUCT((H6:H13&gt;0)*(K6:K13)),3)</f>
        <v>4.4999999999999998E-2</v>
      </c>
      <c r="I16" s="100"/>
      <c r="J16" s="100"/>
      <c r="K16" s="101">
        <f>SUM(K6:K15)</f>
        <v>435.22</v>
      </c>
      <c r="L16" s="102">
        <f>ROUND(M16*10000/SUM(K6:K14),0)</f>
        <v>551</v>
      </c>
      <c r="M16" s="102">
        <f>SUM(M6:M14)</f>
        <v>24</v>
      </c>
      <c r="N16" s="103">
        <f>ROUND(SUMPRODUCT(M6:M14,N6:N14)/M16,3)</f>
        <v>0.88</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9" sqref="F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93" t="s">
        <v>2074</v>
      </c>
      <c r="B1" s="3094"/>
      <c r="C1" s="3094"/>
      <c r="D1" s="3094"/>
      <c r="E1" s="3094"/>
      <c r="F1" s="3094"/>
      <c r="G1" s="309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42.75">
      <c r="A3" s="415" t="s">
        <v>2077</v>
      </c>
      <c r="B3" s="1266" t="s">
        <v>2078</v>
      </c>
      <c r="C3" s="2973"/>
      <c r="D3" s="2364"/>
      <c r="E3" s="431" t="s">
        <v>2077</v>
      </c>
      <c r="F3" s="2365" t="s">
        <v>2079</v>
      </c>
      <c r="G3" s="2366" t="s">
        <v>2080</v>
      </c>
      <c r="H3" s="2362"/>
      <c r="I3" s="2362"/>
      <c r="J3" s="2362"/>
      <c r="K3" s="2362"/>
      <c r="L3" s="2362"/>
      <c r="M3" s="2362"/>
      <c r="N3" s="2362"/>
      <c r="O3" s="2362"/>
      <c r="P3" s="2362"/>
      <c r="Q3" s="2362"/>
      <c r="R3" s="2362"/>
    </row>
    <row r="4" spans="1:29" ht="40.5">
      <c r="A4" s="431"/>
      <c r="B4" s="1793" t="s">
        <v>2081</v>
      </c>
      <c r="C4" s="2367"/>
      <c r="D4" s="2364"/>
      <c r="E4" s="2368"/>
      <c r="F4" s="42" t="s">
        <v>2082</v>
      </c>
      <c r="G4" s="2369" t="s">
        <v>2083</v>
      </c>
      <c r="H4" s="2362"/>
      <c r="I4" s="2362"/>
      <c r="J4" s="2362"/>
      <c r="K4" s="2362"/>
      <c r="L4" s="2362"/>
      <c r="M4" s="2362"/>
      <c r="N4" s="2362"/>
      <c r="O4" s="2362"/>
      <c r="P4" s="2362"/>
      <c r="Q4" s="2362"/>
      <c r="R4" s="2362"/>
    </row>
    <row r="5" spans="1:29" ht="81">
      <c r="A5" s="431"/>
      <c r="B5" s="1793" t="s">
        <v>2084</v>
      </c>
      <c r="C5" s="2974" t="s">
        <v>3174</v>
      </c>
      <c r="D5" s="2364"/>
      <c r="E5" s="2368"/>
      <c r="F5" s="1793" t="s">
        <v>2085</v>
      </c>
      <c r="G5" s="2369" t="s">
        <v>2086</v>
      </c>
      <c r="H5" s="2362"/>
      <c r="I5" s="2362"/>
      <c r="J5" s="2362"/>
      <c r="K5" s="2362"/>
      <c r="L5" s="2362"/>
      <c r="M5" s="2362"/>
      <c r="N5" s="2362"/>
      <c r="O5" s="2362"/>
      <c r="P5" s="2362"/>
      <c r="Q5" s="2362"/>
      <c r="R5" s="2362"/>
    </row>
    <row r="6" spans="1:29" ht="135">
      <c r="A6" s="431"/>
      <c r="B6" s="1793" t="s">
        <v>2087</v>
      </c>
      <c r="C6" s="2975" t="s">
        <v>3173</v>
      </c>
      <c r="D6" s="2364"/>
      <c r="E6" s="2368"/>
      <c r="F6" s="1793" t="s">
        <v>2088</v>
      </c>
      <c r="G6" s="2369" t="s">
        <v>2089</v>
      </c>
      <c r="H6" s="2362"/>
      <c r="I6" s="2362"/>
      <c r="J6" s="2362"/>
      <c r="K6" s="2362"/>
      <c r="L6" s="2362"/>
      <c r="M6" s="2362"/>
      <c r="N6" s="2362"/>
      <c r="O6" s="2362"/>
      <c r="P6" s="2362"/>
      <c r="Q6" s="2362"/>
      <c r="R6" s="2362"/>
    </row>
    <row r="7" spans="1:29" ht="135.75" thickBot="1">
      <c r="A7" s="431"/>
      <c r="B7" s="1793" t="s">
        <v>2085</v>
      </c>
      <c r="C7" s="2975" t="s">
        <v>3176</v>
      </c>
      <c r="D7" s="2370"/>
      <c r="E7" s="2371"/>
      <c r="F7" s="2372" t="s">
        <v>2090</v>
      </c>
      <c r="G7" s="2373" t="s">
        <v>2091</v>
      </c>
      <c r="H7" s="2362"/>
      <c r="I7" s="2362"/>
      <c r="J7" s="2362"/>
      <c r="K7" s="2362"/>
      <c r="L7" s="2362"/>
      <c r="M7" s="2362"/>
      <c r="N7" s="2362"/>
      <c r="O7" s="2362"/>
      <c r="P7" s="2362"/>
      <c r="Q7" s="2362"/>
      <c r="R7" s="2362"/>
    </row>
    <row r="8" spans="1:29" ht="15">
      <c r="A8" s="431"/>
      <c r="B8" s="1793" t="s">
        <v>2088</v>
      </c>
      <c r="C8" s="2975" t="s">
        <v>3177</v>
      </c>
      <c r="D8" s="2370"/>
      <c r="E8" s="2370"/>
      <c r="F8" s="1132"/>
      <c r="G8" s="1132"/>
      <c r="H8" s="2362"/>
      <c r="I8" s="2362"/>
      <c r="J8" s="2362"/>
      <c r="K8" s="2362"/>
      <c r="L8" s="2362"/>
      <c r="M8" s="2362"/>
      <c r="N8" s="2362"/>
      <c r="O8" s="2362"/>
      <c r="P8" s="2362"/>
      <c r="Q8" s="2362"/>
      <c r="R8" s="2362"/>
    </row>
    <row r="9" spans="1:29" ht="121.5">
      <c r="A9" s="431"/>
      <c r="B9" s="1793" t="s">
        <v>2092</v>
      </c>
      <c r="C9" s="2974" t="s">
        <v>3186</v>
      </c>
      <c r="D9" s="2364"/>
      <c r="E9" s="2370"/>
      <c r="F9" s="1132"/>
      <c r="G9" s="1132"/>
      <c r="H9" s="2362"/>
      <c r="I9" s="2362"/>
      <c r="J9" s="2362"/>
      <c r="K9" s="2362"/>
      <c r="L9" s="2362"/>
      <c r="M9" s="2362"/>
      <c r="N9" s="2362"/>
      <c r="O9" s="2362"/>
      <c r="P9" s="2362"/>
      <c r="Q9" s="2362"/>
      <c r="R9" s="2362"/>
    </row>
    <row r="10" spans="1:29" s="117" customFormat="1" ht="15.7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2094</v>
      </c>
      <c r="B13" s="2381"/>
      <c r="C13" s="2381"/>
      <c r="D13" s="2388"/>
      <c r="E13" s="2381"/>
      <c r="F13" s="2381"/>
      <c r="G13" s="2381"/>
    </row>
    <row r="14" spans="1:29" ht="15.75" thickBot="1">
      <c r="A14" s="2392"/>
      <c r="B14" s="2393"/>
      <c r="C14" s="2394" t="s">
        <v>2095</v>
      </c>
      <c r="D14" s="2364"/>
      <c r="E14" s="2395"/>
      <c r="F14" s="2395"/>
      <c r="G14" s="2359" t="s">
        <v>2096</v>
      </c>
    </row>
    <row r="15" spans="1:29" ht="42.75">
      <c r="A15" s="68" t="s">
        <v>2097</v>
      </c>
      <c r="B15" s="1265" t="s">
        <v>2078</v>
      </c>
      <c r="C15" s="2396">
        <f>C3</f>
        <v>0</v>
      </c>
      <c r="D15" s="2364"/>
      <c r="E15" s="2397" t="s">
        <v>2098</v>
      </c>
      <c r="F15" s="1265" t="s">
        <v>2099</v>
      </c>
      <c r="G15" s="135" t="str">
        <f>G3</f>
        <v>估价对象位于XX开发区，园区建设成熟度XX，产业集聚程度XX</v>
      </c>
    </row>
    <row r="16" spans="1:29" ht="42.75">
      <c r="A16" s="645"/>
      <c r="B16" s="2398" t="s">
        <v>2081</v>
      </c>
      <c r="C16" s="2399">
        <f>C4</f>
        <v>0</v>
      </c>
      <c r="D16" s="2364"/>
      <c r="E16" s="2400"/>
      <c r="F16" s="2401" t="s">
        <v>2082</v>
      </c>
      <c r="G16" s="136" t="str">
        <f>G4</f>
        <v>估价对象周边道路状况、公共交通通达情况、停车便捷程度，综合评价交通便捷度较好</v>
      </c>
    </row>
    <row r="17" spans="1:18" ht="85.5">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42.5">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8.5">
      <c r="A19" s="645"/>
      <c r="B19" s="2401" t="s">
        <v>2101</v>
      </c>
      <c r="C19" s="1567"/>
      <c r="D19" s="2364"/>
      <c r="E19" s="2400"/>
      <c r="F19" s="1793" t="s">
        <v>2085</v>
      </c>
      <c r="G19" s="136" t="str">
        <f>G5</f>
        <v>估价对象所在区域公共配套设施齐备情况</v>
      </c>
    </row>
    <row r="20" spans="1:18" ht="128.25">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42.5">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435.22</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43718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1793</v>
      </c>
      <c r="C5" s="1741">
        <f ca="1">ROUND(B5*10000/$B$1,0)</f>
        <v>41198</v>
      </c>
      <c r="D5" s="1741" t="e">
        <f ca="1">ROUND(B5*10000/$B$2,0)</f>
        <v>#DIV/0!</v>
      </c>
      <c r="E5" s="1740"/>
      <c r="F5" s="1738"/>
      <c r="G5" s="1738"/>
    </row>
    <row r="6" spans="1:10" ht="16.5">
      <c r="A6" s="1741" t="s">
        <v>1352</v>
      </c>
      <c r="B6" s="1741">
        <f ca="1">SUM(G14:G23)</f>
        <v>1793</v>
      </c>
      <c r="C6" s="1741">
        <f ca="1">ROUND(B6*10000/$B$1,0)</f>
        <v>41198</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435.22</v>
      </c>
      <c r="C14" s="1739">
        <f>结果表!C118</f>
        <v>0</v>
      </c>
      <c r="D14" s="1739">
        <f ca="1">结果表!H118</f>
        <v>1793</v>
      </c>
      <c r="E14" s="1739">
        <f ca="1">ROUND(D14*10000/B14,0)</f>
        <v>41198</v>
      </c>
      <c r="F14" s="1739" t="e">
        <f ca="1">ROUND(D14*10000/C14,0)</f>
        <v>#DIV/0!</v>
      </c>
      <c r="G14" s="1739">
        <f ca="1">结果表!D122</f>
        <v>1793</v>
      </c>
      <c r="H14" s="1739" t="str">
        <f>结果表!D124</f>
        <v>——</v>
      </c>
      <c r="I14" s="1739" t="str">
        <f>结果表!D126</f>
        <v>——</v>
      </c>
      <c r="J14" s="1738"/>
    </row>
    <row r="15" spans="1:10" ht="16.5">
      <c r="A15" s="1737" t="s">
        <v>1345</v>
      </c>
      <c r="B15" s="2976"/>
      <c r="C15" s="2976"/>
      <c r="D15" s="2976"/>
      <c r="E15" s="1739" t="e">
        <f t="shared" ref="E15:E23" si="0">ROUND(D15*10000/B15,0)</f>
        <v>#DIV/0!</v>
      </c>
      <c r="F15" s="1739" t="e">
        <f t="shared" ref="F15:F23" si="1">ROUND(D15*10000/C15,0)</f>
        <v>#DIV/0!</v>
      </c>
      <c r="G15" s="2976"/>
      <c r="H15" s="1745"/>
      <c r="I15" s="1744"/>
      <c r="J15" s="1738"/>
    </row>
    <row r="16" spans="1:10" ht="16.5">
      <c r="A16" s="1737" t="s">
        <v>1344</v>
      </c>
      <c r="B16" s="2976"/>
      <c r="C16" s="2976"/>
      <c r="D16" s="2976"/>
      <c r="E16" s="1739" t="e">
        <f t="shared" si="0"/>
        <v>#DIV/0!</v>
      </c>
      <c r="F16" s="1739" t="e">
        <f t="shared" si="1"/>
        <v>#DIV/0!</v>
      </c>
      <c r="G16" s="2976"/>
      <c r="H16" s="1745"/>
      <c r="I16" s="1744"/>
    </row>
    <row r="17" spans="1:9" ht="16.5">
      <c r="A17" s="1737" t="s">
        <v>1343</v>
      </c>
      <c r="B17" s="2976"/>
      <c r="C17" s="2976"/>
      <c r="D17" s="2976"/>
      <c r="E17" s="1739" t="e">
        <f t="shared" si="0"/>
        <v>#DIV/0!</v>
      </c>
      <c r="F17" s="1739" t="e">
        <f t="shared" si="1"/>
        <v>#DIV/0!</v>
      </c>
      <c r="G17" s="2976"/>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c r="D1" s="2412"/>
      <c r="E1" s="2412"/>
      <c r="F1" s="2414" t="s">
        <v>2108</v>
      </c>
      <c r="G1" s="2065" t="s">
        <v>3060</v>
      </c>
      <c r="H1" s="2415" t="str">
        <f>IF(G1="现房","——","估价对象范围")</f>
        <v>——</v>
      </c>
      <c r="I1" s="2416"/>
    </row>
    <row r="2" spans="1:12" ht="21.75" customHeight="1" thickBot="1">
      <c r="A2" s="3128" t="str">
        <f>项目基本情况!S2</f>
        <v>北京市丰台区南四环西路128号院2号楼5层610等4套办公用房房地产</v>
      </c>
      <c r="B2" s="3129"/>
      <c r="C2" s="3129"/>
      <c r="D2" s="3129"/>
      <c r="E2" s="3129"/>
      <c r="F2" s="3129"/>
      <c r="G2" s="3129"/>
      <c r="H2" s="3129"/>
      <c r="I2" s="3130"/>
    </row>
    <row r="3" spans="1:12" ht="12.75">
      <c r="A3" s="3132" t="s">
        <v>2109</v>
      </c>
      <c r="B3" s="3133"/>
      <c r="C3" s="3133"/>
      <c r="D3" s="3133"/>
      <c r="E3" s="3133"/>
      <c r="F3" s="3133"/>
      <c r="G3" s="3133"/>
      <c r="H3" s="3133"/>
      <c r="I3" s="3133"/>
    </row>
    <row r="4" spans="1:12" ht="14.25">
      <c r="A4" s="2419" t="s">
        <v>2110</v>
      </c>
      <c r="B4" s="2420" t="s">
        <v>2111</v>
      </c>
      <c r="C4" s="2421" t="s">
        <v>3189</v>
      </c>
      <c r="D4" s="2421" t="s">
        <v>3088</v>
      </c>
      <c r="E4" s="3125" t="s">
        <v>2112</v>
      </c>
      <c r="F4" s="3126"/>
      <c r="G4" s="3126"/>
      <c r="H4" s="3126"/>
      <c r="I4" s="3134"/>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08" t="s">
        <v>2113</v>
      </c>
      <c r="B5" s="3046">
        <v>25</v>
      </c>
      <c r="C5" s="3111"/>
      <c r="D5" s="3131"/>
      <c r="E5" s="140" t="s">
        <v>2114</v>
      </c>
      <c r="F5" s="2423"/>
      <c r="G5" s="2423"/>
      <c r="H5" s="2423"/>
      <c r="I5" s="1829"/>
    </row>
    <row r="6" spans="1:12" ht="12.75">
      <c r="A6" s="3108"/>
      <c r="B6" s="3046"/>
      <c r="C6" s="3112"/>
      <c r="D6" s="3131"/>
      <c r="E6" s="140" t="s">
        <v>2115</v>
      </c>
      <c r="F6" s="2423"/>
      <c r="G6" s="2423"/>
      <c r="H6" s="2423"/>
      <c r="I6" s="1829"/>
    </row>
    <row r="7" spans="1:12" ht="12.75">
      <c r="A7" s="3108"/>
      <c r="B7" s="3046"/>
      <c r="C7" s="3113"/>
      <c r="D7" s="3131"/>
      <c r="E7" s="140" t="s">
        <v>2116</v>
      </c>
      <c r="F7" s="2423"/>
      <c r="G7" s="2423"/>
      <c r="H7" s="2423"/>
      <c r="I7" s="1829"/>
    </row>
    <row r="8" spans="1:12" ht="12.75">
      <c r="A8" s="3108" t="s">
        <v>2117</v>
      </c>
      <c r="B8" s="3046">
        <v>15</v>
      </c>
      <c r="C8" s="3111"/>
      <c r="D8" s="3131"/>
      <c r="E8" s="140" t="s">
        <v>2118</v>
      </c>
      <c r="F8" s="2423"/>
      <c r="G8" s="2423"/>
      <c r="H8" s="2423"/>
      <c r="I8" s="1829"/>
    </row>
    <row r="9" spans="1:12" ht="12.75">
      <c r="A9" s="3108"/>
      <c r="B9" s="3046"/>
      <c r="C9" s="3113"/>
      <c r="D9" s="3131"/>
      <c r="E9" s="140" t="s">
        <v>2119</v>
      </c>
      <c r="F9" s="2423"/>
      <c r="G9" s="2423"/>
      <c r="H9" s="2423"/>
      <c r="I9" s="1829"/>
    </row>
    <row r="10" spans="1:12" ht="12.75">
      <c r="A10" s="3108" t="s">
        <v>2120</v>
      </c>
      <c r="B10" s="3046">
        <v>15</v>
      </c>
      <c r="C10" s="3111"/>
      <c r="D10" s="3131"/>
      <c r="E10" s="140" t="s">
        <v>2121</v>
      </c>
      <c r="F10" s="2423"/>
      <c r="G10" s="2423"/>
      <c r="H10" s="2423"/>
      <c r="I10" s="1829"/>
    </row>
    <row r="11" spans="1:12" ht="12.75">
      <c r="A11" s="3108"/>
      <c r="B11" s="3046"/>
      <c r="C11" s="3113"/>
      <c r="D11" s="3131"/>
      <c r="E11" s="140" t="s">
        <v>2122</v>
      </c>
      <c r="F11" s="2423"/>
      <c r="G11" s="2423"/>
      <c r="H11" s="2423"/>
      <c r="I11" s="1829"/>
    </row>
    <row r="12" spans="1:12" ht="12.75">
      <c r="A12" s="3108" t="s">
        <v>2123</v>
      </c>
      <c r="B12" s="3046">
        <v>15</v>
      </c>
      <c r="C12" s="3111"/>
      <c r="D12" s="3131"/>
      <c r="E12" s="140" t="s">
        <v>2124</v>
      </c>
      <c r="F12" s="2423"/>
      <c r="G12" s="2423"/>
      <c r="H12" s="2423"/>
      <c r="I12" s="1829"/>
    </row>
    <row r="13" spans="1:12" ht="12.75">
      <c r="A13" s="3108"/>
      <c r="B13" s="3046"/>
      <c r="C13" s="3113"/>
      <c r="D13" s="3131"/>
      <c r="E13" s="140" t="s">
        <v>2125</v>
      </c>
      <c r="F13" s="2423"/>
      <c r="G13" s="2423"/>
      <c r="H13" s="2423"/>
      <c r="I13" s="1829"/>
    </row>
    <row r="14" spans="1:12" ht="12.75">
      <c r="A14" s="3108" t="s">
        <v>2126</v>
      </c>
      <c r="B14" s="3046">
        <v>30</v>
      </c>
      <c r="C14" s="3111">
        <v>1</v>
      </c>
      <c r="D14" s="3131">
        <v>0</v>
      </c>
      <c r="E14" s="140" t="s">
        <v>2127</v>
      </c>
      <c r="F14" s="2423"/>
      <c r="G14" s="2423"/>
      <c r="H14" s="2423"/>
      <c r="I14" s="1829"/>
    </row>
    <row r="15" spans="1:12" ht="12.75">
      <c r="A15" s="3108"/>
      <c r="B15" s="3046"/>
      <c r="C15" s="3112"/>
      <c r="D15" s="3131"/>
      <c r="E15" s="140" t="s">
        <v>2128</v>
      </c>
      <c r="F15" s="2423"/>
      <c r="G15" s="2423"/>
      <c r="H15" s="2423"/>
      <c r="I15" s="1829"/>
    </row>
    <row r="16" spans="1:12" ht="12.75">
      <c r="A16" s="3108"/>
      <c r="B16" s="3046"/>
      <c r="C16" s="3113"/>
      <c r="D16" s="3131"/>
      <c r="E16" s="140" t="s">
        <v>2129</v>
      </c>
      <c r="F16" s="2423"/>
      <c r="G16" s="2423"/>
      <c r="H16" s="2423"/>
      <c r="I16" s="1829"/>
    </row>
    <row r="17" spans="1:35" ht="15">
      <c r="A17" s="2424" t="s">
        <v>2130</v>
      </c>
      <c r="B17" s="64"/>
      <c r="C17" s="141">
        <f>SUM(C5:C16)</f>
        <v>1</v>
      </c>
      <c r="D17" s="141">
        <f>SUM(D5:D16)</f>
        <v>0</v>
      </c>
      <c r="E17" s="138"/>
      <c r="F17" s="138"/>
      <c r="G17" s="138"/>
      <c r="H17" s="138"/>
      <c r="I17" s="138"/>
      <c r="K17" s="2422"/>
      <c r="L17" s="2425" t="s">
        <v>2131</v>
      </c>
      <c r="M17" s="2425" t="s">
        <v>2132</v>
      </c>
    </row>
    <row r="18" spans="1:35" ht="15.7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435.22</v>
      </c>
      <c r="M18" s="2422">
        <f>IF(C1="",'数据-汇总表'!E3,SUMIF(项目类型,C1,'数据-汇总表'!E17:E26))</f>
        <v>435.22</v>
      </c>
    </row>
    <row r="19" spans="1:35" ht="15">
      <c r="A19" s="2428" t="s">
        <v>2135</v>
      </c>
      <c r="B19" s="2429" t="s">
        <v>2136</v>
      </c>
      <c r="C19" s="143">
        <f ca="1">SUMIF(INDIRECT("'"&amp;C4&amp;"'"&amp;"!A:A"),结果表!B19,INDIRECT("'"&amp;C4&amp;"'"&amp;"!B:B"))</f>
        <v>1793</v>
      </c>
      <c r="D19" s="144">
        <f ca="1">SUMIF(INDIRECT("'"&amp;D4&amp;"'"&amp;"!A:A"),结果表!B19,INDIRECT("'"&amp;D4&amp;"'"&amp;"!B:B"))</f>
        <v>342</v>
      </c>
      <c r="E19" s="2428" t="s">
        <v>2137</v>
      </c>
      <c r="F19" s="2429" t="s">
        <v>2136</v>
      </c>
      <c r="G19" s="145">
        <f ca="1">ROUND(C19*$C$18+D19*$D$18,0)</f>
        <v>1793</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SUMIF(INDIRECT("'"&amp;C4&amp;"'"&amp;"!A:A"),结果表!B20,INDIRECT("'"&amp;C4&amp;"'"&amp;"!B:B"))</f>
        <v>41198</v>
      </c>
      <c r="D20" s="147">
        <f ca="1">SUMIF(INDIRECT("'"&amp;D4&amp;"'"&amp;"!A:A"),结果表!B20,INDIRECT("'"&amp;D4&amp;"'"&amp;"!B:B"))</f>
        <v>43599</v>
      </c>
      <c r="E20" s="2431"/>
      <c r="F20" s="1245" t="s">
        <v>2140</v>
      </c>
      <c r="G20" s="148">
        <f ca="1">ROUND(C20*$C$18+D20*$D$18,0)</f>
        <v>41198</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4.242690058479532</v>
      </c>
      <c r="E22" s="138"/>
      <c r="F22" s="138"/>
      <c r="G22" s="138"/>
      <c r="H22" s="138"/>
      <c r="I22" s="138"/>
    </row>
    <row r="23" spans="1:35" ht="13.5" thickBot="1">
      <c r="A23" s="2412"/>
      <c r="B23" s="2412"/>
      <c r="C23" s="2412"/>
      <c r="D23" s="2412"/>
      <c r="E23" s="138"/>
      <c r="F23" s="138"/>
      <c r="G23" s="138"/>
      <c r="H23" s="138"/>
      <c r="I23" s="138"/>
    </row>
    <row r="24" spans="1:35" ht="14.25">
      <c r="A24" s="3102" t="s">
        <v>2144</v>
      </c>
      <c r="B24" s="2429" t="s">
        <v>2136</v>
      </c>
      <c r="C24" s="145">
        <f>IF(B30=0,0,D30)</f>
        <v>0</v>
      </c>
      <c r="D24" s="2436"/>
      <c r="E24" s="138"/>
      <c r="F24" s="138"/>
      <c r="G24" s="138"/>
      <c r="H24" s="138"/>
      <c r="I24" s="138"/>
    </row>
    <row r="25" spans="1:35" ht="14.25">
      <c r="A25" s="3103"/>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1793</v>
      </c>
      <c r="D32" s="2443" t="s">
        <v>2151</v>
      </c>
      <c r="E32" s="138"/>
      <c r="F32" s="138"/>
      <c r="G32" s="138"/>
      <c r="H32" s="138"/>
      <c r="I32" s="138"/>
    </row>
    <row r="33" spans="1:15" ht="15">
      <c r="A33" s="956" t="s">
        <v>2152</v>
      </c>
      <c r="B33" s="2444"/>
      <c r="C33" s="2445"/>
      <c r="D33" s="2446"/>
      <c r="E33" s="2447" t="s">
        <v>2153</v>
      </c>
      <c r="F33" s="244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20" t="s">
        <v>2158</v>
      </c>
      <c r="B36" s="2455" t="s">
        <v>2159</v>
      </c>
      <c r="C36" s="154"/>
      <c r="D36" s="2456"/>
      <c r="E36" s="2457"/>
      <c r="F36" s="2458"/>
      <c r="G36" s="138"/>
      <c r="H36" s="138"/>
      <c r="I36" s="138"/>
    </row>
    <row r="37" spans="1:15" ht="15.75" thickBot="1">
      <c r="A37" s="3121"/>
      <c r="B37" s="2261" t="s">
        <v>2160</v>
      </c>
      <c r="C37" s="156"/>
      <c r="D37" s="1390"/>
      <c r="E37" s="1390"/>
      <c r="F37" s="2458"/>
      <c r="G37" s="138"/>
      <c r="H37" s="138"/>
      <c r="I37" s="138"/>
    </row>
    <row r="38" spans="1:15" ht="15.75" thickBot="1">
      <c r="A38" s="3122"/>
      <c r="B38" s="2459" t="s">
        <v>2161</v>
      </c>
      <c r="C38" s="726"/>
      <c r="D38" s="2460" t="s">
        <v>2162</v>
      </c>
      <c r="E38" s="1390"/>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099" t="s">
        <v>2172</v>
      </c>
      <c r="B45" s="3100"/>
      <c r="C45" s="3101"/>
      <c r="D45" s="164">
        <f ca="1">ROUND(H101*F45,0)</f>
        <v>1793</v>
      </c>
      <c r="E45" s="165" t="s">
        <v>2173</v>
      </c>
      <c r="F45" s="166">
        <v>1</v>
      </c>
      <c r="G45" s="167" t="s">
        <v>2174</v>
      </c>
      <c r="H45" s="138"/>
      <c r="I45" s="138"/>
      <c r="J45" s="3159" t="s">
        <v>2175</v>
      </c>
      <c r="K45" s="3159"/>
      <c r="L45" s="3159"/>
      <c r="M45" s="3159"/>
      <c r="N45" s="3159"/>
      <c r="O45" s="3159"/>
    </row>
    <row r="46" spans="1:15" ht="14.25" customHeight="1">
      <c r="A46" s="3096" t="s">
        <v>2176</v>
      </c>
      <c r="B46" s="3097"/>
      <c r="C46" s="3097"/>
      <c r="D46" s="3097"/>
      <c r="E46" s="3097"/>
      <c r="F46" s="3097"/>
      <c r="G46" s="3098"/>
      <c r="H46" s="2474"/>
      <c r="I46" s="168"/>
      <c r="J46" s="1807">
        <v>1</v>
      </c>
      <c r="K46" s="3159" t="s">
        <v>2177</v>
      </c>
      <c r="L46" s="3159"/>
      <c r="M46" s="3179"/>
      <c r="N46" s="3179"/>
      <c r="O46" s="3179"/>
    </row>
    <row r="47" spans="1:15" ht="12" customHeight="1">
      <c r="A47" s="169" t="s">
        <v>2178</v>
      </c>
      <c r="B47" s="170"/>
      <c r="C47" s="171"/>
      <c r="D47" s="172" t="s">
        <v>2179</v>
      </c>
      <c r="E47" s="24" t="s">
        <v>2180</v>
      </c>
      <c r="F47" s="173" t="s">
        <v>2181</v>
      </c>
      <c r="G47" s="174" t="s">
        <v>2182</v>
      </c>
      <c r="H47" s="2474"/>
      <c r="I47" s="168"/>
      <c r="J47" s="1807">
        <v>2</v>
      </c>
      <c r="K47" s="3159" t="s">
        <v>2183</v>
      </c>
      <c r="L47" s="3159"/>
      <c r="M47" s="3180">
        <f>'数据-取费表'!B2</f>
        <v>43718</v>
      </c>
      <c r="N47" s="3180"/>
      <c r="O47" s="3180"/>
    </row>
    <row r="48" spans="1:15" ht="25.5">
      <c r="A48" s="3127" t="s">
        <v>2184</v>
      </c>
      <c r="B48" s="3110"/>
      <c r="C48" s="3110"/>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59" t="s">
        <v>2187</v>
      </c>
      <c r="L48" s="3159"/>
      <c r="M48" s="3181">
        <f ca="1">H101</f>
        <v>1793</v>
      </c>
      <c r="N48" s="3181"/>
      <c r="O48" s="3181"/>
    </row>
    <row r="49" spans="1:35" ht="25.5" customHeight="1">
      <c r="A49" s="176" t="s">
        <v>2188</v>
      </c>
      <c r="B49" s="3095" t="s">
        <v>2189</v>
      </c>
      <c r="C49" s="3095"/>
      <c r="D49" s="177">
        <v>0</v>
      </c>
      <c r="E49" s="23" t="s">
        <v>2190</v>
      </c>
      <c r="F49" s="28" t="s">
        <v>34</v>
      </c>
      <c r="G49" s="3165"/>
      <c r="H49" s="138"/>
      <c r="I49" s="2477"/>
      <c r="J49" s="1807">
        <v>4</v>
      </c>
      <c r="K49" s="3159" t="str">
        <f>IF(项目基本情况!E8="房地产抵押价值","房地产抵押价值","抵押担保权已注销时的房地产抵押价值")</f>
        <v>房地产抵押价值</v>
      </c>
      <c r="L49" s="3159"/>
      <c r="M49" s="3181">
        <f ca="1">IF(项目基本情况!E8="房地产抵押价值",H107,H109)</f>
        <v>1793</v>
      </c>
      <c r="N49" s="3181"/>
      <c r="O49" s="3181"/>
    </row>
    <row r="50" spans="1:35" ht="25.5" customHeight="1">
      <c r="A50" s="178"/>
      <c r="B50" s="3095" t="s">
        <v>2191</v>
      </c>
      <c r="C50" s="3095"/>
      <c r="D50" s="179"/>
      <c r="E50" s="31"/>
      <c r="F50" s="180"/>
      <c r="G50" s="3166"/>
      <c r="H50" s="138"/>
      <c r="I50" s="2477"/>
      <c r="J50" s="3159" t="s">
        <v>2192</v>
      </c>
      <c r="K50" s="3159"/>
      <c r="L50" s="3159"/>
      <c r="M50" s="3159"/>
      <c r="N50" s="3159"/>
      <c r="O50" s="3159"/>
    </row>
    <row r="51" spans="1:35" ht="12" customHeight="1">
      <c r="A51" s="181"/>
      <c r="B51" s="3095" t="s">
        <v>2193</v>
      </c>
      <c r="C51" s="3095"/>
      <c r="D51" s="182"/>
      <c r="E51" s="30"/>
      <c r="F51" s="180"/>
      <c r="G51" s="3167"/>
      <c r="H51" s="138"/>
      <c r="I51" s="2477"/>
      <c r="J51" s="2478" t="s">
        <v>2194</v>
      </c>
      <c r="K51" s="3159" t="s">
        <v>2195</v>
      </c>
      <c r="L51" s="3159"/>
      <c r="M51" s="2478" t="s">
        <v>2196</v>
      </c>
      <c r="N51" s="2478" t="s">
        <v>2197</v>
      </c>
      <c r="O51" s="2478" t="s">
        <v>2198</v>
      </c>
    </row>
    <row r="52" spans="1:35" ht="24" customHeight="1">
      <c r="A52" s="183" t="s">
        <v>2199</v>
      </c>
      <c r="B52" s="3095" t="s">
        <v>2200</v>
      </c>
      <c r="C52" s="3095"/>
      <c r="D52" s="182">
        <f ca="1">ROUND(D45*'数据-取费表'!B41/(1+'数据-取费表'!C42),0)</f>
        <v>96</v>
      </c>
      <c r="E52" s="11" t="s">
        <v>2201</v>
      </c>
      <c r="F52" s="184">
        <f>'数据-取费表'!B41</f>
        <v>5.6000000000000001E-2</v>
      </c>
      <c r="G52" s="2479"/>
      <c r="H52" s="138"/>
      <c r="I52" s="2477"/>
      <c r="J52" s="1807">
        <v>1</v>
      </c>
      <c r="K52" s="3160" t="s">
        <v>2202</v>
      </c>
      <c r="L52" s="3160"/>
      <c r="M52" s="1749">
        <f>D48</f>
        <v>0</v>
      </c>
      <c r="N52" s="1807" t="str">
        <f>E48</f>
        <v>销售额×税（费）率</v>
      </c>
      <c r="O52" s="1750" t="str">
        <f>F48</f>
        <v>免征</v>
      </c>
    </row>
    <row r="53" spans="1:35" ht="12" customHeight="1">
      <c r="A53" s="183" t="s">
        <v>2203</v>
      </c>
      <c r="B53" s="3118" t="s">
        <v>2204</v>
      </c>
      <c r="C53" s="3119"/>
      <c r="D53" s="182">
        <f ca="1">ROUND(D45*'数据-取费表'!B41/(1+'数据-取费表'!C42),0)</f>
        <v>96</v>
      </c>
      <c r="E53" s="11" t="s">
        <v>2201</v>
      </c>
      <c r="F53" s="184">
        <f>'数据-取费表'!B41</f>
        <v>5.6000000000000001E-2</v>
      </c>
      <c r="G53" s="2479"/>
      <c r="H53" s="138"/>
      <c r="I53" s="2477"/>
      <c r="J53" s="1807">
        <v>2</v>
      </c>
      <c r="K53" s="3160" t="s">
        <v>2205</v>
      </c>
      <c r="L53" s="3160"/>
      <c r="M53" s="1749">
        <f t="shared" ref="M53:O54" ca="1" si="0">D55</f>
        <v>1</v>
      </c>
      <c r="N53" s="1807" t="str">
        <f t="shared" si="0"/>
        <v>销售额×税（费）率</v>
      </c>
      <c r="O53" s="1750">
        <f t="shared" si="0"/>
        <v>5.0000000000000001E-4</v>
      </c>
    </row>
    <row r="54" spans="1:35" ht="12" customHeight="1">
      <c r="A54" s="183" t="s">
        <v>2206</v>
      </c>
      <c r="B54" s="3118" t="s">
        <v>2207</v>
      </c>
      <c r="C54" s="3119"/>
      <c r="D54" s="182">
        <f ca="1">C68</f>
        <v>96</v>
      </c>
      <c r="E54" s="30" t="s">
        <v>2208</v>
      </c>
      <c r="F54" s="184">
        <f>'数据-取费表'!B41</f>
        <v>5.6000000000000001E-2</v>
      </c>
      <c r="G54" s="2479"/>
      <c r="H54" s="2480"/>
      <c r="I54" s="2477"/>
      <c r="J54" s="1807">
        <v>3</v>
      </c>
      <c r="K54" s="3160" t="s">
        <v>2209</v>
      </c>
      <c r="L54" s="3160"/>
      <c r="M54" s="1749">
        <f t="shared" ca="1" si="0"/>
        <v>1015</v>
      </c>
      <c r="N54" s="1807" t="str">
        <f t="shared" si="0"/>
        <v>增值额×税（费）率</v>
      </c>
      <c r="O54" s="1751" t="str">
        <f t="shared" si="0"/>
        <v>——</v>
      </c>
    </row>
    <row r="55" spans="1:35" ht="24" customHeight="1">
      <c r="A55" s="3109" t="s">
        <v>2210</v>
      </c>
      <c r="B55" s="3110"/>
      <c r="C55" s="3110"/>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60" t="str">
        <f>IF(H59="非个人房产","——","个人所得税")</f>
        <v>——</v>
      </c>
      <c r="L55" s="3160"/>
      <c r="M55" s="1752" t="str">
        <f>D59</f>
        <v>——</v>
      </c>
      <c r="N55" s="1805" t="str">
        <f>E59</f>
        <v>——</v>
      </c>
      <c r="O55" s="1753" t="str">
        <f>F59</f>
        <v>——</v>
      </c>
    </row>
    <row r="56" spans="1:35" ht="24.75">
      <c r="A56" s="3109" t="s">
        <v>2213</v>
      </c>
      <c r="B56" s="3110"/>
      <c r="C56" s="3110"/>
      <c r="D56" s="185">
        <f ca="1">IF(H56="个人住宅",D57,D58)</f>
        <v>1015</v>
      </c>
      <c r="E56" s="11" t="s">
        <v>2214</v>
      </c>
      <c r="F56" s="184" t="str">
        <f>IF(H56="正常",F58,"免征")</f>
        <v>——</v>
      </c>
      <c r="G56" s="2481" t="s">
        <v>2215</v>
      </c>
      <c r="H56" s="2482" t="s">
        <v>2212</v>
      </c>
      <c r="I56" s="2483"/>
      <c r="J56" s="1807" t="str">
        <f>IF(项目基本情况!K6="上海银行",IF(J55="",4,J55+1),"")</f>
        <v/>
      </c>
      <c r="K56" s="3183" t="str">
        <f>IF(项目基本情况!K6="上海银行","其他处置费用","")</f>
        <v/>
      </c>
      <c r="L56" s="3184"/>
      <c r="M56" s="1749" t="str">
        <f>IF(项目基本情况!K6="上海银行",M69,"")</f>
        <v/>
      </c>
      <c r="N56" s="3186" t="str">
        <f>IF(项目基本情况!K6="上海银行","包含处置中涉及的律师、诉讼、拍卖、评估等费用","")</f>
        <v/>
      </c>
      <c r="O56" s="3187"/>
    </row>
    <row r="57" spans="1:35" ht="12.75">
      <c r="A57" s="183" t="s">
        <v>2188</v>
      </c>
      <c r="B57" s="3125" t="s">
        <v>2216</v>
      </c>
      <c r="C57" s="3134"/>
      <c r="D57" s="187">
        <v>0</v>
      </c>
      <c r="E57" s="23" t="s">
        <v>2190</v>
      </c>
      <c r="F57" s="155"/>
      <c r="G57" s="2479"/>
      <c r="H57" s="2483"/>
      <c r="I57" s="2483"/>
      <c r="J57" s="3160">
        <f>IF(AND(J55="",J56=""),4,IF(项目基本情况!K6="上海银行",结果表!J56+1,结果表!J55+1))</f>
        <v>4</v>
      </c>
      <c r="K57" s="3160" t="s">
        <v>2217</v>
      </c>
      <c r="L57" s="2484" t="s">
        <v>2218</v>
      </c>
      <c r="M57" s="1754"/>
      <c r="N57" s="1755">
        <f ca="1">SUMIF(M52:M56,"&lt;9e307")</f>
        <v>1016</v>
      </c>
      <c r="O57" s="2485"/>
      <c r="P57" s="1748">
        <f ca="1">N57/M49</f>
        <v>0.56664807585052979</v>
      </c>
    </row>
    <row r="58" spans="1:35" ht="24.75">
      <c r="A58" s="183" t="s">
        <v>2199</v>
      </c>
      <c r="B58" s="3125" t="s">
        <v>2219</v>
      </c>
      <c r="C58" s="3126"/>
      <c r="D58" s="185">
        <f ca="1">IF(H58="转让取得",C81,C97)</f>
        <v>1015</v>
      </c>
      <c r="E58" s="11" t="s">
        <v>2214</v>
      </c>
      <c r="F58" s="24" t="s">
        <v>34</v>
      </c>
      <c r="G58" s="2479"/>
      <c r="H58" s="2482" t="s">
        <v>2220</v>
      </c>
      <c r="I58" s="2483"/>
      <c r="J58" s="3160"/>
      <c r="K58" s="3160"/>
      <c r="L58" s="2484" t="s">
        <v>2221</v>
      </c>
      <c r="M58" s="1756"/>
      <c r="N58" s="2486" t="str">
        <f ca="1">NUMBERSTRING(INT(N57*10000),2)&amp;"元整"</f>
        <v>壹仟零壹拾陆万元整</v>
      </c>
      <c r="O58" s="2487"/>
    </row>
    <row r="59" spans="1:35" ht="24.75" thickBot="1">
      <c r="A59" s="3163" t="s">
        <v>2222</v>
      </c>
      <c r="B59" s="3164"/>
      <c r="C59" s="3164"/>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61">
        <f>J57+1</f>
        <v>5</v>
      </c>
      <c r="K59" s="3160" t="s">
        <v>2224</v>
      </c>
      <c r="L59" s="1807" t="s">
        <v>2218</v>
      </c>
      <c r="M59" s="1757"/>
      <c r="N59" s="1758">
        <f ca="1">M49-N57</f>
        <v>777</v>
      </c>
      <c r="O59" s="2489"/>
    </row>
    <row r="60" spans="1:35" ht="12" customHeight="1">
      <c r="A60" s="2490"/>
      <c r="B60" s="2412"/>
      <c r="C60" s="2412"/>
      <c r="D60" s="2412"/>
      <c r="E60" s="2160"/>
      <c r="F60" s="2483"/>
      <c r="G60" s="2483"/>
      <c r="H60" s="2491"/>
      <c r="I60" s="138"/>
      <c r="J60" s="3162"/>
      <c r="K60" s="3160"/>
      <c r="L60" s="2484" t="s">
        <v>2221</v>
      </c>
      <c r="M60" s="1756"/>
      <c r="N60" s="2486" t="str">
        <f ca="1">NUMBERSTRING(INT(N59*10000),2)&amp;"元整"</f>
        <v>柒佰柒拾柒万元整</v>
      </c>
      <c r="O60" s="2487"/>
    </row>
    <row r="61" spans="1:35" ht="13.5" thickBot="1">
      <c r="A61" s="3107" t="s">
        <v>2225</v>
      </c>
      <c r="B61" s="3107"/>
      <c r="C61" s="3107"/>
      <c r="D61" s="3107"/>
      <c r="E61" s="3107"/>
      <c r="F61" s="2483"/>
      <c r="G61" s="2483"/>
      <c r="H61" s="2491"/>
      <c r="I61" s="138"/>
      <c r="J61" s="1807">
        <f>J59+1</f>
        <v>6</v>
      </c>
      <c r="K61" s="3160" t="s">
        <v>2226</v>
      </c>
      <c r="L61" s="3160"/>
      <c r="M61" s="1759"/>
      <c r="N61" s="1760">
        <f ca="1">ROUND(N59*10000/'数据-汇总表'!E3,0)</f>
        <v>17853</v>
      </c>
      <c r="O61" s="2492"/>
    </row>
    <row r="62" spans="1:35" ht="12.75">
      <c r="A62" s="3123" t="s">
        <v>2227</v>
      </c>
      <c r="B62" s="3124"/>
      <c r="C62" s="1799"/>
      <c r="D62" s="1799" t="s">
        <v>2228</v>
      </c>
      <c r="E62" s="192" t="s">
        <v>2229</v>
      </c>
      <c r="F62" s="2483"/>
      <c r="G62" s="2483"/>
      <c r="H62" s="2491"/>
      <c r="I62" s="138"/>
    </row>
    <row r="63" spans="1:35" ht="12.75">
      <c r="A63" s="203" t="s">
        <v>775</v>
      </c>
      <c r="B63" s="193" t="s">
        <v>2230</v>
      </c>
      <c r="C63" s="194">
        <f ca="1">ROUND((C64+C65)/(1+'数据-取费表'!C42),0)</f>
        <v>1708</v>
      </c>
      <c r="D63" s="195"/>
      <c r="E63" s="196"/>
      <c r="F63" s="2483"/>
      <c r="G63" s="2483"/>
      <c r="H63" s="2491"/>
      <c r="I63" s="138"/>
      <c r="J63" s="3185" t="s">
        <v>2231</v>
      </c>
      <c r="K63" s="2493" t="s">
        <v>2232</v>
      </c>
      <c r="L63" s="1747">
        <f ca="1">IF(M49&gt;10000,M49*0.5%,IF(AND(M49&gt;1000,M49&lt;=10000),M49*1%,IF(AND(M49&gt;100,M49&lt;=1000),M49*3%,IF(AND(M49&gt;10,M49&lt;=100),M49*5%,M49*8%))))</f>
        <v>17.93</v>
      </c>
      <c r="M63" s="24">
        <f ca="1">ROUND(L63,1)</f>
        <v>17.899999999999999</v>
      </c>
      <c r="Z63" s="2417"/>
      <c r="AI63" s="2418"/>
    </row>
    <row r="64" spans="1:35" ht="14.25" customHeight="1">
      <c r="A64" s="197" t="s">
        <v>770</v>
      </c>
      <c r="B64" s="198" t="s">
        <v>2233</v>
      </c>
      <c r="C64" s="199">
        <f ca="1">D45</f>
        <v>1793</v>
      </c>
      <c r="D64" s="200" t="s">
        <v>32</v>
      </c>
      <c r="E64" s="201"/>
      <c r="F64" s="2483"/>
      <c r="G64" s="2483"/>
      <c r="H64" s="2491"/>
      <c r="I64" s="138"/>
      <c r="J64" s="3185"/>
      <c r="K64" s="2493" t="s">
        <v>2234</v>
      </c>
      <c r="L64" s="1747">
        <f ca="1">IF(M49&gt;2000,M49*0.5%,IF(AND(M49&gt;1000,M49&lt;=2000),M49*0.6%,IF(AND(M49&gt;500,M49&lt;=1000),M49*0.7%,IF(AND(M49&gt;200,M49&lt;=500),M49*0.8%,IF(AND(M49&gt;100,M49&lt;=200),M49*0.9%,IF(AND(M49&gt;50,M49&lt;=100),M49*1%,IF(AND(M49&gt;20,M49&lt;=50),M49*1.5%,IF(AND(M49&gt;10,M49&lt;=20),M49*2%,IF(AND(M49&gt;1,M49&lt;=10),M49*2.5%)))))))))</f>
        <v>10.758000000000001</v>
      </c>
      <c r="M64" s="24">
        <f t="shared" ref="M64:M65" ca="1" si="1">ROUND(L64,1)</f>
        <v>10.8</v>
      </c>
      <c r="N64" s="138" t="s">
        <v>2235</v>
      </c>
      <c r="Z64" s="2417"/>
      <c r="AI64" s="2418"/>
    </row>
    <row r="65" spans="1:35" ht="14.25" customHeight="1">
      <c r="A65" s="197" t="s">
        <v>771</v>
      </c>
      <c r="B65" s="198" t="s">
        <v>2236</v>
      </c>
      <c r="C65" s="202"/>
      <c r="D65" s="200"/>
      <c r="E65" s="201"/>
      <c r="F65" s="2483"/>
      <c r="G65" s="2483"/>
      <c r="H65" s="2491"/>
      <c r="I65" s="138"/>
      <c r="J65" s="3185"/>
      <c r="K65" s="2493" t="s">
        <v>2237</v>
      </c>
      <c r="L65" s="1747">
        <f ca="1">IF(M49&gt;1000,M49*0.1%,IF(AND(M49&gt;500,M49&lt;=1000),M49*0.5%,IF(AND(M49&gt;50,M49&lt;=500),M49*1%,IF(AND(M49&gt;1,M49&lt;=50),M49*1.5%))))</f>
        <v>1.7929999999999999</v>
      </c>
      <c r="M65" s="24">
        <f t="shared" ca="1" si="1"/>
        <v>1.8</v>
      </c>
      <c r="N65" s="138" t="s">
        <v>2235</v>
      </c>
      <c r="Z65" s="2417"/>
      <c r="AI65" s="2418"/>
    </row>
    <row r="66" spans="1:35" ht="14.25" customHeight="1">
      <c r="A66" s="203" t="s">
        <v>772</v>
      </c>
      <c r="B66" s="204" t="s">
        <v>2238</v>
      </c>
      <c r="C66" s="205"/>
      <c r="D66" s="206" t="s">
        <v>32</v>
      </c>
      <c r="E66" s="1771" t="s">
        <v>1367</v>
      </c>
      <c r="F66" s="2483"/>
      <c r="G66" s="2483"/>
      <c r="H66" s="2491"/>
      <c r="I66" s="138"/>
      <c r="J66" s="3185"/>
      <c r="K66" s="2493" t="s">
        <v>2239</v>
      </c>
      <c r="L66" s="1747">
        <f ca="1">M49*0.5%</f>
        <v>8.9649999999999999</v>
      </c>
      <c r="M66" s="24">
        <f ca="1">IF(L66&gt;0.5,0.5,ROUND(L66,0))</f>
        <v>0.5</v>
      </c>
      <c r="N66" s="138" t="s">
        <v>2240</v>
      </c>
      <c r="Z66" s="2417"/>
      <c r="AI66" s="2418"/>
    </row>
    <row r="67" spans="1:35" ht="14.25" customHeight="1">
      <c r="A67" s="203" t="s">
        <v>773</v>
      </c>
      <c r="B67" s="204" t="s">
        <v>2241</v>
      </c>
      <c r="C67" s="207">
        <f ca="1">C63-C66</f>
        <v>1708</v>
      </c>
      <c r="D67" s="200" t="s">
        <v>32</v>
      </c>
      <c r="E67" s="201"/>
      <c r="F67" s="2483"/>
      <c r="G67" s="2483"/>
      <c r="H67" s="2491"/>
      <c r="I67" s="138"/>
      <c r="J67" s="3185"/>
      <c r="K67" s="2493" t="s">
        <v>2242</v>
      </c>
      <c r="L67" s="1747">
        <f ca="1">IF(M49&gt;=10000,(8.25+(M49-10000)*0.01%),IF(AND(M49&gt;=8000,M49&lt;10000),(7.85+(M49-8000)*0.02%),IF(AND(M49&gt;=5000,M49&lt;8000),(6.65+(M49-5000)*0.04%),IF(AND(M49&gt;=2000,M49&lt;5000),(4.25+(PM49-2000)*0.08%),IF(AND(M49&gt;=1000,M49&lt;2000),(2.75+(M49-1000)*0.15%),IF(AND(M49&gt;=100,M49&lt;1000),(0.5+(M49-100)*0.25%),IF(AND(M49&gt;0,M49&lt;100),M49*0.5%)))))))</f>
        <v>3.9394999999999998</v>
      </c>
      <c r="M67" s="24">
        <f ca="1">ROUND(L67*0.9,1)</f>
        <v>3.5</v>
      </c>
      <c r="Z67" s="2417"/>
      <c r="AI67" s="2418"/>
    </row>
    <row r="68" spans="1:35" ht="14.25" customHeight="1" thickBot="1">
      <c r="A68" s="208" t="s">
        <v>774</v>
      </c>
      <c r="B68" s="209" t="s">
        <v>2243</v>
      </c>
      <c r="C68" s="210">
        <f ca="1">IF(C67&lt;=0,0,ROUND(C67*D68,0))</f>
        <v>96</v>
      </c>
      <c r="D68" s="211">
        <f>'数据-取费表'!B41</f>
        <v>5.6000000000000001E-2</v>
      </c>
      <c r="E68" s="212"/>
      <c r="F68" s="2483"/>
      <c r="G68" s="2483"/>
      <c r="H68" s="2491"/>
      <c r="I68" s="138"/>
      <c r="J68" s="3185"/>
      <c r="K68" s="2493" t="s">
        <v>2244</v>
      </c>
      <c r="L68" s="1747">
        <f ca="1">IF(M49&gt;10000,M49*0.5%,IF(AND(M49&gt;5000,M49&lt;=10000),M49*1%,IF(AND(M49&gt;1000,M49&lt;=5000),M49*2%,IF(AND(M49&gt;200,M49&lt;=1000),M49*3%,M49*5%))))</f>
        <v>35.86</v>
      </c>
      <c r="M68" s="24">
        <f ca="1">ROUND(L68,1)</f>
        <v>35.9</v>
      </c>
      <c r="Z68" s="2417"/>
      <c r="AI68" s="2418"/>
    </row>
    <row r="69" spans="1:35" s="2440" customFormat="1" ht="16.5" customHeight="1">
      <c r="A69" s="2494"/>
      <c r="B69" s="2495"/>
      <c r="C69" s="2496"/>
      <c r="D69" s="2497"/>
      <c r="E69" s="2498"/>
      <c r="F69" s="2160"/>
      <c r="G69" s="2160"/>
      <c r="H69" s="2159"/>
      <c r="I69" s="2412"/>
      <c r="J69" s="3185"/>
      <c r="K69" s="2493" t="s">
        <v>2245</v>
      </c>
      <c r="L69" s="2499"/>
      <c r="M69" s="24">
        <f ca="1">ROUND(SUM(M63:M68),0)</f>
        <v>70</v>
      </c>
      <c r="N69" s="1748">
        <f ca="1">M69/M49</f>
        <v>3.9040713887339651E-2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44" t="s">
        <v>2246</v>
      </c>
      <c r="B70" s="3145"/>
      <c r="C70" s="3145"/>
      <c r="D70" s="3145"/>
      <c r="E70" s="3145"/>
      <c r="F70" s="3145"/>
      <c r="G70" s="3145"/>
      <c r="H70" s="314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3" t="s">
        <v>2227</v>
      </c>
      <c r="B71" s="3124"/>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1708</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18" t="s">
        <v>2255</v>
      </c>
      <c r="F76" s="3095"/>
      <c r="G76" s="3095"/>
      <c r="H76" s="314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04" t="s">
        <v>2260</v>
      </c>
      <c r="F78" s="3105"/>
      <c r="G78" s="3105"/>
      <c r="H78" s="311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1698</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4" t="s">
        <v>2264</v>
      </c>
      <c r="B83" s="3145"/>
      <c r="C83" s="3145"/>
      <c r="D83" s="3145"/>
      <c r="E83" s="3145"/>
      <c r="F83" s="3145"/>
      <c r="G83" s="3145"/>
      <c r="H83" s="314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3" t="s">
        <v>2227</v>
      </c>
      <c r="B84" s="3124"/>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1708</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04" t="s">
        <v>2273</v>
      </c>
      <c r="F91" s="3105"/>
      <c r="G91" s="3105"/>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04" t="s">
        <v>2277</v>
      </c>
      <c r="F92" s="3105"/>
      <c r="G92" s="3105"/>
      <c r="H92" s="311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04" t="s">
        <v>2260</v>
      </c>
      <c r="F93" s="3105"/>
      <c r="G93" s="3105"/>
      <c r="H93" s="311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15" t="s">
        <v>2281</v>
      </c>
      <c r="F94" s="3116"/>
      <c r="G94" s="3116"/>
      <c r="H94" s="311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1698</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1015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89" t="s">
        <v>2283</v>
      </c>
      <c r="B100" s="3090"/>
      <c r="C100" s="3090"/>
      <c r="D100" s="3106"/>
      <c r="E100" s="3090" t="s">
        <v>2284</v>
      </c>
      <c r="F100" s="3090"/>
      <c r="G100" s="3090"/>
      <c r="H100" s="3106"/>
      <c r="I100" s="138"/>
    </row>
    <row r="101" spans="1:35" ht="18.75" customHeight="1">
      <c r="A101" s="3168" t="s">
        <v>2285</v>
      </c>
      <c r="B101" s="3169"/>
      <c r="C101" s="735" t="str">
        <f>C4</f>
        <v>典型户型修正</v>
      </c>
      <c r="D101" s="736" t="str">
        <f>D4</f>
        <v>比较法-办公</v>
      </c>
      <c r="E101" s="3182" t="s">
        <v>2286</v>
      </c>
      <c r="F101" s="3136"/>
      <c r="G101" s="2514" t="s">
        <v>2287</v>
      </c>
      <c r="H101" s="1044">
        <f ca="1">H118</f>
        <v>1793</v>
      </c>
      <c r="I101" s="138"/>
    </row>
    <row r="102" spans="1:35" ht="18.75" customHeight="1">
      <c r="A102" s="3138" t="s">
        <v>2288</v>
      </c>
      <c r="B102" s="2514" t="s">
        <v>2287</v>
      </c>
      <c r="C102" s="735">
        <f ca="1">C19</f>
        <v>1793</v>
      </c>
      <c r="D102" s="736">
        <f ca="1">D19</f>
        <v>342</v>
      </c>
      <c r="E102" s="3182"/>
      <c r="F102" s="3136"/>
      <c r="G102" s="2514" t="s">
        <v>2289</v>
      </c>
      <c r="H102" s="371">
        <f ca="1">I118</f>
        <v>41198</v>
      </c>
      <c r="I102" s="138"/>
    </row>
    <row r="103" spans="1:35" ht="42.75" customHeight="1">
      <c r="A103" s="3138"/>
      <c r="B103" s="2514" t="s">
        <v>2289</v>
      </c>
      <c r="C103" s="737">
        <f ca="1">C20</f>
        <v>41198</v>
      </c>
      <c r="D103" s="738">
        <f ca="1">D20</f>
        <v>43599</v>
      </c>
      <c r="E103" s="3177" t="s">
        <v>2290</v>
      </c>
      <c r="F103" s="3178"/>
      <c r="G103" s="2515" t="s">
        <v>2291</v>
      </c>
      <c r="H103" s="1044">
        <f>IF(D36="正常操作",H104+H105+H106,H105+H106)</f>
        <v>0</v>
      </c>
      <c r="I103" s="138"/>
    </row>
    <row r="104" spans="1:35" ht="18.75" customHeight="1">
      <c r="A104" s="3138" t="s">
        <v>2292</v>
      </c>
      <c r="B104" s="2516" t="s">
        <v>2287</v>
      </c>
      <c r="C104" s="739">
        <f ca="1">H118</f>
        <v>1793</v>
      </c>
      <c r="D104" s="740"/>
      <c r="E104" s="2261" t="s">
        <v>2293</v>
      </c>
      <c r="F104" s="2252"/>
      <c r="G104" s="2515" t="s">
        <v>2291</v>
      </c>
      <c r="H104" s="1045">
        <f>IF(D36="同一抵押权人同一抵押物续贷",C36&amp;"（未扣减，详见特别提示）",C36)</f>
        <v>0</v>
      </c>
      <c r="I104" s="138"/>
    </row>
    <row r="105" spans="1:35" ht="18.75" customHeight="1" thickBot="1">
      <c r="A105" s="3139"/>
      <c r="B105" s="2517" t="s">
        <v>2289</v>
      </c>
      <c r="C105" s="741">
        <f ca="1">I118</f>
        <v>41198</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5" t="str">
        <f>IF(项目基本情况!E8="已注销","——","3.房地产抵押价值")</f>
        <v>3.房地产抵押价值</v>
      </c>
      <c r="F107" s="3136"/>
      <c r="G107" s="2514" t="s">
        <v>2287</v>
      </c>
      <c r="H107" s="1044">
        <f ca="1">IF(E107="——","——",H101-H103)</f>
        <v>1793</v>
      </c>
      <c r="I107" s="138"/>
    </row>
    <row r="108" spans="1:35" ht="18.75" customHeight="1">
      <c r="A108" s="138"/>
      <c r="B108" s="138"/>
      <c r="C108" s="138"/>
      <c r="D108" s="138"/>
      <c r="E108" s="3135"/>
      <c r="F108" s="3136"/>
      <c r="G108" s="2514" t="s">
        <v>2289</v>
      </c>
      <c r="H108" s="371">
        <f ca="1">ROUND(H107*10000/'数据-汇总表'!E3,0)</f>
        <v>41198</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4" t="s">
        <v>2287</v>
      </c>
      <c r="H109" s="348" t="str">
        <f>IF(E109="——","——",H101-H105-H106)</f>
        <v>——</v>
      </c>
      <c r="I109" s="138"/>
    </row>
    <row r="110" spans="1:35" ht="18.75" customHeight="1">
      <c r="A110" s="138"/>
      <c r="B110" s="138"/>
      <c r="C110" s="138"/>
      <c r="D110" s="138"/>
      <c r="E110" s="3135"/>
      <c r="F110" s="3136"/>
      <c r="G110" s="2514" t="s">
        <v>2289</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4" t="s">
        <v>2287</v>
      </c>
      <c r="H111" s="1044" t="str">
        <f>IF(E111="——","——",N59)</f>
        <v>——</v>
      </c>
      <c r="I111" s="138"/>
    </row>
    <row r="112" spans="1:35" ht="18.75" customHeight="1" thickBot="1">
      <c r="A112" s="138"/>
      <c r="B112" s="138"/>
      <c r="C112" s="138"/>
      <c r="D112" s="138"/>
      <c r="E112" s="3172"/>
      <c r="F112" s="3173"/>
      <c r="G112" s="2519" t="s">
        <v>2289</v>
      </c>
      <c r="H112" s="789" t="str">
        <f>IF(E111="——","——",N61)</f>
        <v>——</v>
      </c>
      <c r="I112" s="138"/>
    </row>
    <row r="113" spans="1:11" ht="18.75" customHeight="1">
      <c r="A113" s="138"/>
      <c r="B113" s="138"/>
      <c r="C113" s="138"/>
      <c r="D113" s="138"/>
      <c r="E113" s="3140" t="s">
        <v>2295</v>
      </c>
      <c r="F113" s="3140"/>
      <c r="G113" s="3140"/>
      <c r="H113" s="3140"/>
      <c r="I113" s="138"/>
    </row>
    <row r="114" spans="1:11" ht="3.75" customHeight="1">
      <c r="A114" s="2412"/>
      <c r="B114" s="2412"/>
      <c r="C114" s="2412"/>
      <c r="D114" s="2412"/>
      <c r="E114" s="2490"/>
      <c r="F114" s="2490"/>
      <c r="G114" s="2490"/>
      <c r="H114" s="2490"/>
      <c r="I114" s="2412"/>
    </row>
    <row r="115" spans="1:11" ht="18.75" customHeight="1">
      <c r="A115" s="3153" t="s">
        <v>2297</v>
      </c>
      <c r="B115" s="3154"/>
      <c r="C115" s="3154"/>
      <c r="D115" s="3154"/>
      <c r="E115" s="3154"/>
      <c r="F115" s="3154"/>
      <c r="G115" s="3154"/>
      <c r="H115" s="3154"/>
      <c r="I115" s="3155"/>
    </row>
    <row r="116" spans="1:11" ht="27" customHeight="1">
      <c r="A116" s="3046" t="s">
        <v>2298</v>
      </c>
      <c r="B116" s="3141" t="s">
        <v>2299</v>
      </c>
      <c r="C116" s="3141" t="s">
        <v>2300</v>
      </c>
      <c r="D116" s="3157" t="s">
        <v>2301</v>
      </c>
      <c r="E116" s="3158"/>
      <c r="F116" s="3149" t="s">
        <v>2302</v>
      </c>
      <c r="G116" s="3149"/>
      <c r="H116" s="3046" t="s">
        <v>2303</v>
      </c>
      <c r="I116" s="3046"/>
    </row>
    <row r="117" spans="1:11" ht="18.75" customHeight="1">
      <c r="A117" s="3046"/>
      <c r="B117" s="3142"/>
      <c r="C117" s="3142"/>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北京市丰台区南四环西路128号院2号楼5层610等4套办公用房房地产</v>
      </c>
      <c r="B118" s="1793">
        <f>M18</f>
        <v>435.22</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1793</v>
      </c>
      <c r="I118" s="1793">
        <f ca="1">ROUND(IF(D32="楼面单价",C32,H118*10000/B118),0)</f>
        <v>41198</v>
      </c>
    </row>
    <row r="119" spans="1:11" ht="18.75" customHeight="1">
      <c r="A119" s="3046" t="s">
        <v>2307</v>
      </c>
      <c r="B119" s="3046"/>
      <c r="C119" s="3046"/>
      <c r="D119" s="3146" t="e">
        <f ca="1">NUMBERSTRING(INT(D118*10000),2)&amp;"元整"</f>
        <v>#REF!</v>
      </c>
      <c r="E119" s="3148"/>
      <c r="F119" s="3146" t="e">
        <f ca="1">NUMBERSTRING(INT(F118*10000),2)&amp;"元整"</f>
        <v>#REF!</v>
      </c>
      <c r="G119" s="3148"/>
      <c r="H119" s="3146" t="str">
        <f ca="1">NUMBERSTRING(INT(H118*10000),2)&amp;"元整"</f>
        <v>壹仟柒佰玖拾叁万元整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7" t="str">
        <f>IF(D120=0,"故，本次评估不存在"&amp;A120,"故，本次评估"&amp;A120&amp;"为人民币"&amp;D120&amp;"万元整。")</f>
        <v>故，本次评估不存在估价师知悉的法定优先受偿款</v>
      </c>
    </row>
    <row r="121" spans="1:11" ht="18.75" customHeight="1">
      <c r="A121" s="3150" t="s">
        <v>2307</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1793</v>
      </c>
      <c r="E122" s="3175"/>
      <c r="F122" s="3175"/>
      <c r="G122" s="3175"/>
      <c r="H122" s="3175"/>
      <c r="I122" s="3176"/>
    </row>
    <row r="123" spans="1:11" ht="18.75" customHeight="1">
      <c r="A123" s="3046" t="s">
        <v>2307</v>
      </c>
      <c r="B123" s="3046"/>
      <c r="C123" s="3046"/>
      <c r="D123" s="3146" t="str">
        <f ca="1">NUMBERSTRING(INT(D122*10000),2)&amp;"元整"</f>
        <v>壹仟柒佰玖拾叁万元整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2307</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2307</v>
      </c>
      <c r="B127" s="3046"/>
      <c r="C127" s="3046"/>
      <c r="D127" s="3146" t="e">
        <f>NUMBERSTRING(INT(D126*10000),2)&amp;"元整"</f>
        <v>#VALUE!</v>
      </c>
      <c r="E127" s="3147"/>
      <c r="F127" s="3147"/>
      <c r="G127" s="3147"/>
      <c r="H127" s="3147"/>
      <c r="I127" s="3148"/>
    </row>
    <row r="128" spans="1:11" ht="21.75" customHeight="1">
      <c r="A128" s="3156" t="s">
        <v>2308</v>
      </c>
      <c r="B128" s="3156"/>
      <c r="C128" s="3156"/>
      <c r="D128" s="3156"/>
      <c r="E128" s="3156"/>
      <c r="F128" s="3156"/>
      <c r="G128" s="3156"/>
      <c r="H128" s="3156"/>
      <c r="I128" s="3156"/>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4" t="s">
        <v>27</v>
      </c>
      <c r="C1" s="242"/>
      <c r="D1" s="242"/>
      <c r="E1" s="242"/>
      <c r="F1" s="242"/>
      <c r="G1" s="1377">
        <f>MATCH(B1,'数据-取费表'!A6:A16,0)+5</f>
        <v>6</v>
      </c>
    </row>
    <row r="2" spans="1:9" s="244" customFormat="1" ht="18" customHeight="1">
      <c r="A2" s="245" t="s">
        <v>2317</v>
      </c>
      <c r="B2" s="246">
        <f ca="1">IF(D2="——",C52,C52-E2)</f>
        <v>170</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21648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100</v>
      </c>
      <c r="D5" s="255" t="s">
        <v>2324</v>
      </c>
      <c r="E5" s="256" t="s">
        <v>2325</v>
      </c>
      <c r="F5" s="256" t="s">
        <v>2326</v>
      </c>
      <c r="G5" s="257"/>
    </row>
    <row r="6" spans="1:9" s="258" customFormat="1" ht="13.5" customHeight="1">
      <c r="A6" s="948" t="s">
        <v>2327</v>
      </c>
      <c r="B6" s="259" t="s">
        <v>2328</v>
      </c>
      <c r="C6" s="260">
        <f ca="1">基准地价修正!B2</f>
        <v>97</v>
      </c>
      <c r="D6" s="261"/>
      <c r="E6" s="262"/>
      <c r="F6" s="262"/>
      <c r="G6" s="263"/>
    </row>
    <row r="7" spans="1:9" s="258" customFormat="1" ht="13.5" customHeight="1">
      <c r="A7" s="948" t="s">
        <v>2329</v>
      </c>
      <c r="B7" s="259" t="s">
        <v>2330</v>
      </c>
      <c r="C7" s="264">
        <f ca="1">ROUND(C6*F7,0)</f>
        <v>3</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3102</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2</v>
      </c>
      <c r="D10" s="1031">
        <f ca="1">IF(B1="",'数据-汇总表'!E6,IF(INDIRECT("'数据-取费表'!c"&amp;$G$1)="住宅",INDIRECT("'数据-取费表'!s"&amp;$G$1),INDIRECT("'数据-取费表'!k"&amp;$G$1)+INDIRECT("'数据-取费表'!s"&amp;$G$1)))</f>
        <v>78.53</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78.53</v>
      </c>
      <c r="E19" s="255">
        <f>'数据-取费表'!B31</f>
        <v>200</v>
      </c>
      <c r="F19" s="275"/>
      <c r="G19" s="2546" t="s">
        <v>3103</v>
      </c>
    </row>
    <row r="20" spans="1:7" s="258" customFormat="1" ht="13.5" customHeight="1">
      <c r="A20" s="299" t="s">
        <v>2348</v>
      </c>
      <c r="B20" s="254" t="s">
        <v>2349</v>
      </c>
      <c r="C20" s="276">
        <f ca="1">ROUND((C5+C19)*F20,0)</f>
        <v>2</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10</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10</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15</v>
      </c>
      <c r="D27" s="279">
        <f ca="1">C29</f>
        <v>3.0000000000000001E-3</v>
      </c>
      <c r="E27" s="280" t="s">
        <v>2369</v>
      </c>
      <c r="F27" s="290">
        <f ca="1">IF(B1="",'数据-取费表'!Q16,INDIRECT("'数据-取费表'!q"&amp;$G$1))</f>
        <v>0.15</v>
      </c>
      <c r="G27" s="291" t="s">
        <v>2370</v>
      </c>
    </row>
    <row r="28" spans="1:7" s="258" customFormat="1" ht="13.5" customHeight="1">
      <c r="A28" s="950" t="s">
        <v>791</v>
      </c>
      <c r="B28" s="292" t="s">
        <v>2371</v>
      </c>
      <c r="C28" s="293">
        <f ca="1">ROUND((C5+C19+C20)*F27*'数据-取费表'!B21/'数据-取费表'!B20,0)</f>
        <v>15</v>
      </c>
      <c r="D28" s="279"/>
      <c r="E28" s="280"/>
      <c r="F28" s="290"/>
      <c r="G28" s="291"/>
    </row>
    <row r="29" spans="1:7" s="258" customFormat="1" ht="13.5" customHeight="1">
      <c r="A29" s="950"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138</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27</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24</v>
      </c>
      <c r="D34" s="261"/>
      <c r="E34" s="264"/>
      <c r="F34" s="301">
        <f ca="1">IF('数据-取费表'!B24=0,1,IF(B1="",'数据-取费表'!N16,INDIRECT("'数据-取费表'!n"&amp;$G$1)))</f>
        <v>1</v>
      </c>
      <c r="G34" s="263" t="s">
        <v>2381</v>
      </c>
    </row>
    <row r="35" spans="1:7" ht="13.5" customHeight="1">
      <c r="A35" s="950" t="s">
        <v>796</v>
      </c>
      <c r="B35" s="259" t="s">
        <v>2382</v>
      </c>
      <c r="C35" s="264">
        <f ca="1">ROUND(C34*F35,0)</f>
        <v>1</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2</v>
      </c>
      <c r="D37" s="261">
        <f ca="1">D19</f>
        <v>78.53</v>
      </c>
      <c r="E37" s="293">
        <f>'数据-取费表'!B35</f>
        <v>200</v>
      </c>
      <c r="F37" s="303"/>
      <c r="G37" s="305" t="s">
        <v>2387</v>
      </c>
    </row>
    <row r="38" spans="1:7" ht="13.5" customHeight="1">
      <c r="A38" s="950" t="s">
        <v>799</v>
      </c>
      <c r="B38" s="259" t="s">
        <v>2388</v>
      </c>
      <c r="C38" s="264">
        <f ca="1">ROUND(C34*F38,0)</f>
        <v>0</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1</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1</v>
      </c>
      <c r="D42" s="282"/>
      <c r="E42" s="282"/>
      <c r="F42" s="283"/>
      <c r="G42" s="3188" t="s">
        <v>2399</v>
      </c>
    </row>
    <row r="43" spans="1:7" ht="13.5" customHeight="1">
      <c r="A43" s="950" t="s">
        <v>792</v>
      </c>
      <c r="B43" s="259" t="s">
        <v>2400</v>
      </c>
      <c r="C43" s="282">
        <f ca="1">ROUND(IF('数据-取费表'!B22&lt;=1,C39*F22*'数据-取费表'!B21/2,C39*(POWER((1+F22),'数据-取费表'!B21/2)-1)),0)</f>
        <v>0</v>
      </c>
      <c r="D43" s="282"/>
      <c r="E43" s="282"/>
      <c r="F43" s="283"/>
      <c r="G43" s="3189"/>
    </row>
    <row r="44" spans="1:7" ht="13.5" customHeight="1">
      <c r="A44" s="950" t="s">
        <v>793</v>
      </c>
      <c r="B44" s="259" t="s">
        <v>2401</v>
      </c>
      <c r="C44" s="282">
        <f ca="1">ROUND(IF('数据-取费表'!B22&lt;=1,C40*F22*'数据-取费表'!B21/2,C40*(POWER((1+F22),'数据-取费表'!B21/2)-1)),4)</f>
        <v>1E-3</v>
      </c>
      <c r="D44" s="282"/>
      <c r="E44" s="282"/>
      <c r="F44" s="283"/>
      <c r="G44" s="3190"/>
    </row>
    <row r="45" spans="1:7" s="258" customFormat="1" ht="13.5" customHeight="1">
      <c r="A45" s="299" t="s">
        <v>2402</v>
      </c>
      <c r="B45" s="288" t="s">
        <v>2368</v>
      </c>
      <c r="C45" s="289">
        <f ca="1">C46</f>
        <v>4</v>
      </c>
      <c r="D45" s="279">
        <f ca="1">C47</f>
        <v>3.0000000000000001E-3</v>
      </c>
      <c r="E45" s="280" t="s">
        <v>2394</v>
      </c>
      <c r="F45" s="290"/>
      <c r="G45" s="291" t="s">
        <v>2403</v>
      </c>
    </row>
    <row r="46" spans="1:7" s="258" customFormat="1" ht="13.5" customHeight="1">
      <c r="A46" s="950" t="s">
        <v>791</v>
      </c>
      <c r="B46" s="292" t="s">
        <v>2404</v>
      </c>
      <c r="C46" s="293">
        <f ca="1">ROUND((C33+C39)*F27,0)</f>
        <v>4</v>
      </c>
      <c r="D46" s="307"/>
      <c r="E46" s="280"/>
      <c r="F46" s="290"/>
      <c r="G46" s="291"/>
    </row>
    <row r="47" spans="1:7" s="258" customFormat="1" ht="13.5" customHeight="1">
      <c r="A47" s="950" t="s">
        <v>792</v>
      </c>
      <c r="B47" s="292" t="s">
        <v>2405</v>
      </c>
      <c r="C47" s="282">
        <f ca="1">ROUND(C40*F27,4)</f>
        <v>3.0000000000000001E-3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36</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32</v>
      </c>
      <c r="D51" s="276"/>
      <c r="E51" s="276"/>
      <c r="F51" s="308"/>
      <c r="G51" s="278" t="s">
        <v>2415</v>
      </c>
    </row>
    <row r="52" spans="1:7" s="252" customFormat="1" ht="16.5" thickBot="1">
      <c r="A52" s="309" t="s">
        <v>2416</v>
      </c>
      <c r="B52" s="310"/>
      <c r="C52" s="311">
        <f ca="1">C31+C51</f>
        <v>170</v>
      </c>
      <c r="D52" s="310"/>
      <c r="E52" s="310"/>
      <c r="F52" s="310"/>
      <c r="G52" s="312"/>
    </row>
    <row r="55" spans="1:7" ht="15">
      <c r="B55" s="314" t="s">
        <v>2417</v>
      </c>
      <c r="C55" s="315"/>
    </row>
    <row r="56" spans="1:7">
      <c r="B56" s="317" t="s">
        <v>1508</v>
      </c>
      <c r="C56" s="319">
        <f ca="1">1-C57</f>
        <v>0.81200000000000006</v>
      </c>
    </row>
    <row r="57" spans="1:7">
      <c r="B57" s="317" t="s">
        <v>1509</v>
      </c>
      <c r="C57" s="318">
        <f ca="1">ROUND(C51/C52,3)</f>
        <v>0.188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2" t="str">
        <f>项目基本情况!B1</f>
        <v>北京市丰台区南四环西路128号院2号楼5层610等4套办公用房房地产抵押价值预评估</v>
      </c>
      <c r="C37" s="3002"/>
      <c r="D37" s="3002"/>
      <c r="E37" s="3002"/>
      <c r="F37" s="3002"/>
      <c r="G37" s="3002"/>
      <c r="H37" s="3002"/>
      <c r="I37" s="3002"/>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63</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1448</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87044</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87044</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87044</v>
      </c>
      <c r="D10" s="1031">
        <f ca="1">IF(B1="",'数据-汇总表'!E6,IF(INDIRECT("'数据-取费表'!c"&amp;$G$1)="住宅",INDIRECT("'数据-取费表'!s"&amp;$G$1),INDIRECT("'数据-取费表'!k"&amp;$G$1)+INDIRECT("'数据-取费表'!s"&amp;$G$1)))</f>
        <v>435.22</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87044</v>
      </c>
      <c r="D19" s="1035">
        <f ca="1">D9+D10</f>
        <v>435.22</v>
      </c>
      <c r="E19" s="255">
        <f>'数据-取费表'!B31</f>
        <v>200</v>
      </c>
      <c r="F19" s="275"/>
      <c r="G19" s="2546"/>
    </row>
    <row r="20" spans="1:7" s="258" customFormat="1" ht="13.5" customHeight="1">
      <c r="A20" s="299" t="s">
        <v>2429</v>
      </c>
      <c r="B20" s="254" t="s">
        <v>2430</v>
      </c>
      <c r="C20" s="276">
        <f ca="1">ROUND((C5+C19)*F20,0)</f>
        <v>3482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17097</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8466</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8466</v>
      </c>
      <c r="D24" s="282"/>
      <c r="E24" s="282"/>
      <c r="F24" s="283"/>
      <c r="G24" s="284" t="s">
        <v>2441</v>
      </c>
    </row>
    <row r="25" spans="1:7" s="258" customFormat="1" ht="24">
      <c r="A25" s="950" t="s">
        <v>2331</v>
      </c>
      <c r="B25" s="259" t="s">
        <v>2442</v>
      </c>
      <c r="C25" s="1379">
        <f ca="1">ROUND(IF('数据-取费表'!B22&lt;=1,C20*F22*'数据-取费表'!B22/2,C20*(POWER((1+F22),'数据-取费表'!B22/2)-1)),0)</f>
        <v>165</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26636</v>
      </c>
      <c r="D27" s="279">
        <f ca="1">C29</f>
        <v>3.0000000000000001E-3</v>
      </c>
      <c r="E27" s="280" t="s">
        <v>2369</v>
      </c>
      <c r="F27" s="290">
        <f ca="1">IF(B1="",'数据-取费表'!Q16,INDIRECT("'数据-取费表'!q"&amp;$G$1))</f>
        <v>0.15</v>
      </c>
      <c r="G27" s="291" t="s">
        <v>2370</v>
      </c>
    </row>
    <row r="28" spans="1:7" s="258" customFormat="1" ht="13.5" customHeight="1">
      <c r="A28" s="950" t="s">
        <v>791</v>
      </c>
      <c r="B28" s="292" t="s">
        <v>2371</v>
      </c>
      <c r="C28" s="293">
        <f ca="1">ROUND((C5+C19+C20)*F27,0)</f>
        <v>26636</v>
      </c>
      <c r="D28" s="279"/>
      <c r="E28" s="280"/>
      <c r="F28" s="290"/>
      <c r="G28" s="291"/>
    </row>
    <row r="29" spans="1:7" s="258" customFormat="1" ht="13.5" customHeight="1">
      <c r="A29" s="950"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239843</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333236</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235590</v>
      </c>
      <c r="D34" s="261"/>
      <c r="E34" s="264"/>
      <c r="F34" s="301"/>
      <c r="G34" s="263"/>
    </row>
    <row r="35" spans="1:7" ht="13.5" customHeight="1">
      <c r="A35" s="950" t="s">
        <v>796</v>
      </c>
      <c r="B35" s="259" t="s">
        <v>2382</v>
      </c>
      <c r="C35" s="264">
        <f ca="1">ROUND(C34*F35,0)</f>
        <v>7068</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87044</v>
      </c>
      <c r="D37" s="261">
        <f ca="1">D19</f>
        <v>435.22</v>
      </c>
      <c r="E37" s="293">
        <f>'数据-取费表'!B35</f>
        <v>200</v>
      </c>
      <c r="F37" s="303"/>
      <c r="G37" s="305"/>
    </row>
    <row r="38" spans="1:7" ht="13.5" customHeight="1">
      <c r="A38" s="950" t="s">
        <v>799</v>
      </c>
      <c r="B38" s="259" t="s">
        <v>2388</v>
      </c>
      <c r="C38" s="264">
        <f ca="1">ROUND(C34*F38,0)</f>
        <v>3534</v>
      </c>
      <c r="D38" s="264"/>
      <c r="E38" s="264"/>
      <c r="F38" s="303">
        <f>'数据-取费表'!B36</f>
        <v>1.4999999999999999E-2</v>
      </c>
      <c r="G38" s="263" t="s">
        <v>2383</v>
      </c>
    </row>
    <row r="39" spans="1:7" s="258" customFormat="1" ht="13.5" customHeight="1">
      <c r="A39" s="299" t="s">
        <v>2389</v>
      </c>
      <c r="B39" s="254" t="s">
        <v>2390</v>
      </c>
      <c r="C39" s="276">
        <f ca="1">ROUND(C33*F20,0)</f>
        <v>6665</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16146</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15829</v>
      </c>
      <c r="D42" s="282"/>
      <c r="E42" s="282"/>
      <c r="F42" s="283"/>
      <c r="G42" s="3188" t="s">
        <v>2446</v>
      </c>
    </row>
    <row r="43" spans="1:7" ht="13.5" customHeight="1">
      <c r="A43" s="950" t="s">
        <v>792</v>
      </c>
      <c r="B43" s="259" t="s">
        <v>2400</v>
      </c>
      <c r="C43" s="282">
        <f ca="1">ROUND(IF('数据-取费表'!B22&lt;=1,C39*F22*'数据-取费表'!B20/2,C39*(POWER((1+F22),'数据-取费表'!B20/2)-1)),0)</f>
        <v>317</v>
      </c>
      <c r="D43" s="282"/>
      <c r="E43" s="282"/>
      <c r="F43" s="283"/>
      <c r="G43" s="3189"/>
    </row>
    <row r="44" spans="1:7" ht="13.5" customHeight="1">
      <c r="A44" s="950" t="s">
        <v>793</v>
      </c>
      <c r="B44" s="259" t="s">
        <v>2401</v>
      </c>
      <c r="C44" s="282">
        <f ca="1">ROUND(IF('数据-取费表'!B22&lt;=1,C40*F22*'数据-取费表'!B20/2,C40*(POWER((1+F22),'数据-取费表'!B20/2)-1)),4)</f>
        <v>1E-3</v>
      </c>
      <c r="D44" s="282"/>
      <c r="E44" s="282"/>
      <c r="F44" s="283"/>
      <c r="G44" s="3190"/>
    </row>
    <row r="45" spans="1:7" s="258" customFormat="1" ht="13.5" customHeight="1">
      <c r="A45" s="299" t="s">
        <v>2402</v>
      </c>
      <c r="B45" s="288" t="s">
        <v>2368</v>
      </c>
      <c r="C45" s="289">
        <f ca="1">C46</f>
        <v>50985</v>
      </c>
      <c r="D45" s="279">
        <f ca="1">C47</f>
        <v>3.0000000000000001E-3</v>
      </c>
      <c r="E45" s="280" t="s">
        <v>2394</v>
      </c>
      <c r="F45" s="290"/>
      <c r="G45" s="291" t="s">
        <v>2403</v>
      </c>
    </row>
    <row r="46" spans="1:7" s="258" customFormat="1" ht="13.5" customHeight="1">
      <c r="A46" s="950" t="s">
        <v>791</v>
      </c>
      <c r="B46" s="292" t="s">
        <v>2404</v>
      </c>
      <c r="C46" s="293">
        <f ca="1">ROUND((C33+C39)*F27,0)</f>
        <v>50985</v>
      </c>
      <c r="D46" s="307"/>
      <c r="E46" s="280"/>
      <c r="F46" s="290"/>
      <c r="G46" s="291"/>
    </row>
    <row r="47" spans="1:7" s="258" customFormat="1" ht="13.5" customHeight="1">
      <c r="A47" s="950"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441131</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388195</v>
      </c>
      <c r="D51" s="276"/>
      <c r="E51" s="276"/>
      <c r="F51" s="308"/>
      <c r="G51" s="278" t="s">
        <v>2415</v>
      </c>
    </row>
    <row r="52" spans="1:7" s="252" customFormat="1" ht="16.5" thickBot="1">
      <c r="A52" s="309" t="s">
        <v>2416</v>
      </c>
      <c r="B52" s="310"/>
      <c r="C52" s="311">
        <f ca="1">C31+C51</f>
        <v>628038</v>
      </c>
      <c r="D52" s="310"/>
      <c r="E52" s="310"/>
      <c r="F52" s="310"/>
      <c r="G52" s="312"/>
    </row>
    <row r="55" spans="1:7" ht="15">
      <c r="B55" s="314" t="s">
        <v>2417</v>
      </c>
      <c r="C55" s="315"/>
    </row>
    <row r="56" spans="1:7">
      <c r="B56" s="317" t="s">
        <v>1508</v>
      </c>
      <c r="C56" s="319">
        <f ca="1">1-C57</f>
        <v>0.38200000000000001</v>
      </c>
    </row>
    <row r="57" spans="1:7">
      <c r="B57" s="317" t="s">
        <v>1509</v>
      </c>
      <c r="C57" s="318">
        <f ca="1">ROUND(C51/C52,3)</f>
        <v>0.61799999999999999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2449</v>
      </c>
      <c r="B1" s="1579"/>
      <c r="C1" s="1580"/>
      <c r="D1" s="1578"/>
      <c r="E1" s="320"/>
      <c r="F1" s="320"/>
      <c r="G1" s="1579"/>
      <c r="H1" s="320"/>
      <c r="I1" s="320"/>
      <c r="J1" s="320"/>
      <c r="K1" s="320">
        <f>MATCH(C1,'数据-取费表'!A6:A16,0)+5</f>
        <v>8</v>
      </c>
    </row>
    <row r="2" spans="1:33" ht="18" customHeight="1">
      <c r="A2" s="245" t="s">
        <v>2317</v>
      </c>
      <c r="B2" s="248">
        <f ca="1">C32</f>
        <v>-10</v>
      </c>
      <c r="C2" s="320" t="s">
        <v>2450</v>
      </c>
      <c r="D2" s="320"/>
      <c r="E2" s="320"/>
      <c r="F2" s="320"/>
      <c r="G2" s="320"/>
      <c r="H2" s="320"/>
      <c r="I2" s="320"/>
      <c r="J2" s="320"/>
      <c r="K2" s="320"/>
    </row>
    <row r="3" spans="1:33" ht="18" customHeight="1" thickBot="1">
      <c r="A3" s="247" t="s">
        <v>2319</v>
      </c>
      <c r="B3" s="248">
        <f ca="1">ROUND(B2*10000/IF(C1="",'数据-汇总表'!E3,INDIRECT("'数据-取费表'!K"&amp;$K$1)),0)</f>
        <v>-230</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435.22</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435.22</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435.22</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1</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1</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-10</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t="s">
        <v>27</v>
      </c>
      <c r="D1" s="2412"/>
      <c r="E1" s="2412"/>
      <c r="F1" s="2414" t="s">
        <v>2108</v>
      </c>
      <c r="G1" s="2065" t="s">
        <v>3060</v>
      </c>
      <c r="H1" s="2415" t="str">
        <f>IF(G1="现房","——","估价对象范围")</f>
        <v>——</v>
      </c>
      <c r="I1" s="2416"/>
    </row>
    <row r="2" spans="1:12" ht="21.75" customHeight="1" thickBot="1">
      <c r="A2" s="3128" t="str">
        <f>项目基本情况!S2</f>
        <v>北京市丰台区南四环西路128号院2号楼5层610等4套办公用房房地产</v>
      </c>
      <c r="B2" s="3129"/>
      <c r="C2" s="3129"/>
      <c r="D2" s="3129"/>
      <c r="E2" s="3129"/>
      <c r="F2" s="3129"/>
      <c r="G2" s="3129"/>
      <c r="H2" s="3129"/>
      <c r="I2" s="3130"/>
    </row>
    <row r="3" spans="1:12" ht="12.75">
      <c r="A3" s="3132" t="s">
        <v>2109</v>
      </c>
      <c r="B3" s="3133"/>
      <c r="C3" s="3133"/>
      <c r="D3" s="3133"/>
      <c r="E3" s="3133"/>
      <c r="F3" s="3133"/>
      <c r="G3" s="3133"/>
      <c r="H3" s="3133"/>
      <c r="I3" s="3133"/>
    </row>
    <row r="4" spans="1:12" ht="14.25">
      <c r="A4" s="2419" t="s">
        <v>2110</v>
      </c>
      <c r="B4" s="2420" t="s">
        <v>2111</v>
      </c>
      <c r="C4" s="2421" t="s">
        <v>3087</v>
      </c>
      <c r="D4" s="2421" t="s">
        <v>3088</v>
      </c>
      <c r="E4" s="3125" t="s">
        <v>2112</v>
      </c>
      <c r="F4" s="3126"/>
      <c r="G4" s="3126"/>
      <c r="H4" s="3126"/>
      <c r="I4" s="3134"/>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2.75">
      <c r="A5" s="3108" t="s">
        <v>2113</v>
      </c>
      <c r="B5" s="3046">
        <v>25</v>
      </c>
      <c r="C5" s="3111"/>
      <c r="D5" s="3131"/>
      <c r="E5" s="140" t="s">
        <v>2114</v>
      </c>
      <c r="F5" s="2423"/>
      <c r="G5" s="2423"/>
      <c r="H5" s="2423"/>
      <c r="I5" s="1829"/>
    </row>
    <row r="6" spans="1:12" ht="12.75">
      <c r="A6" s="3108"/>
      <c r="B6" s="3046"/>
      <c r="C6" s="3112"/>
      <c r="D6" s="3131"/>
      <c r="E6" s="140" t="s">
        <v>2115</v>
      </c>
      <c r="F6" s="2423"/>
      <c r="G6" s="2423"/>
      <c r="H6" s="2423"/>
      <c r="I6" s="1829"/>
    </row>
    <row r="7" spans="1:12" ht="12.75">
      <c r="A7" s="3108"/>
      <c r="B7" s="3046"/>
      <c r="C7" s="3113"/>
      <c r="D7" s="3131"/>
      <c r="E7" s="140" t="s">
        <v>2116</v>
      </c>
      <c r="F7" s="2423"/>
      <c r="G7" s="2423"/>
      <c r="H7" s="2423"/>
      <c r="I7" s="1829"/>
    </row>
    <row r="8" spans="1:12" ht="12.75">
      <c r="A8" s="3108" t="s">
        <v>2117</v>
      </c>
      <c r="B8" s="3046">
        <v>15</v>
      </c>
      <c r="C8" s="3111"/>
      <c r="D8" s="3131"/>
      <c r="E8" s="140" t="s">
        <v>2118</v>
      </c>
      <c r="F8" s="2423"/>
      <c r="G8" s="2423"/>
      <c r="H8" s="2423"/>
      <c r="I8" s="1829"/>
    </row>
    <row r="9" spans="1:12" ht="12.75">
      <c r="A9" s="3108"/>
      <c r="B9" s="3046"/>
      <c r="C9" s="3113"/>
      <c r="D9" s="3131"/>
      <c r="E9" s="140" t="s">
        <v>2119</v>
      </c>
      <c r="F9" s="2423"/>
      <c r="G9" s="2423"/>
      <c r="H9" s="2423"/>
      <c r="I9" s="1829"/>
    </row>
    <row r="10" spans="1:12" ht="12.75">
      <c r="A10" s="3108" t="s">
        <v>2120</v>
      </c>
      <c r="B10" s="3046">
        <v>15</v>
      </c>
      <c r="C10" s="3111"/>
      <c r="D10" s="3131"/>
      <c r="E10" s="140" t="s">
        <v>2121</v>
      </c>
      <c r="F10" s="2423"/>
      <c r="G10" s="2423"/>
      <c r="H10" s="2423"/>
      <c r="I10" s="1829"/>
    </row>
    <row r="11" spans="1:12" ht="12.75">
      <c r="A11" s="3108"/>
      <c r="B11" s="3046"/>
      <c r="C11" s="3113"/>
      <c r="D11" s="3131"/>
      <c r="E11" s="140" t="s">
        <v>2122</v>
      </c>
      <c r="F11" s="2423"/>
      <c r="G11" s="2423"/>
      <c r="H11" s="2423"/>
      <c r="I11" s="1829"/>
    </row>
    <row r="12" spans="1:12" ht="12.75">
      <c r="A12" s="3108" t="s">
        <v>2123</v>
      </c>
      <c r="B12" s="3046">
        <v>15</v>
      </c>
      <c r="C12" s="3111"/>
      <c r="D12" s="3131"/>
      <c r="E12" s="140" t="s">
        <v>2124</v>
      </c>
      <c r="F12" s="2423"/>
      <c r="G12" s="2423"/>
      <c r="H12" s="2423"/>
      <c r="I12" s="1829"/>
    </row>
    <row r="13" spans="1:12" ht="12.75">
      <c r="A13" s="3108"/>
      <c r="B13" s="3046"/>
      <c r="C13" s="3113"/>
      <c r="D13" s="3131"/>
      <c r="E13" s="140" t="s">
        <v>2125</v>
      </c>
      <c r="F13" s="2423"/>
      <c r="G13" s="2423"/>
      <c r="H13" s="2423"/>
      <c r="I13" s="1829"/>
    </row>
    <row r="14" spans="1:12" ht="12.75">
      <c r="A14" s="3108" t="s">
        <v>2126</v>
      </c>
      <c r="B14" s="3046">
        <v>30</v>
      </c>
      <c r="C14" s="3111">
        <v>5</v>
      </c>
      <c r="D14" s="3131">
        <v>5</v>
      </c>
      <c r="E14" s="140" t="s">
        <v>2127</v>
      </c>
      <c r="F14" s="2423"/>
      <c r="G14" s="2423"/>
      <c r="H14" s="2423"/>
      <c r="I14" s="1829"/>
    </row>
    <row r="15" spans="1:12" ht="12.75">
      <c r="A15" s="3108"/>
      <c r="B15" s="3046"/>
      <c r="C15" s="3112"/>
      <c r="D15" s="3131"/>
      <c r="E15" s="140" t="s">
        <v>2128</v>
      </c>
      <c r="F15" s="2423"/>
      <c r="G15" s="2423"/>
      <c r="H15" s="2423"/>
      <c r="I15" s="1829"/>
    </row>
    <row r="16" spans="1:12" ht="12.75">
      <c r="A16" s="3108"/>
      <c r="B16" s="3046"/>
      <c r="C16" s="3113"/>
      <c r="D16" s="3131"/>
      <c r="E16" s="140" t="s">
        <v>2129</v>
      </c>
      <c r="F16" s="2423"/>
      <c r="G16" s="2423"/>
      <c r="H16" s="2423"/>
      <c r="I16" s="1829"/>
    </row>
    <row r="17" spans="1:35" ht="15">
      <c r="A17" s="2424" t="s">
        <v>2130</v>
      </c>
      <c r="B17" s="64"/>
      <c r="C17" s="141">
        <f>SUM(C5:C16)</f>
        <v>5</v>
      </c>
      <c r="D17" s="141">
        <f>SUM(D5:D16)</f>
        <v>5</v>
      </c>
      <c r="E17" s="138"/>
      <c r="F17" s="138"/>
      <c r="G17" s="138"/>
      <c r="H17" s="138"/>
      <c r="I17" s="138"/>
      <c r="K17" s="2422"/>
      <c r="L17" s="2425" t="s">
        <v>2131</v>
      </c>
      <c r="M17" s="2425" t="s">
        <v>2132</v>
      </c>
    </row>
    <row r="18" spans="1:35" ht="15.75" thickBot="1">
      <c r="A18" s="2426" t="s">
        <v>2133</v>
      </c>
      <c r="B18" s="2427"/>
      <c r="C18" s="142">
        <f>ROUND(C17/SUM(C17:D17),2)</f>
        <v>0.5</v>
      </c>
      <c r="D18" s="142">
        <f>1-C18</f>
        <v>0.5</v>
      </c>
      <c r="E18" s="138"/>
      <c r="F18" s="138"/>
      <c r="G18" s="138"/>
      <c r="H18" s="138"/>
      <c r="I18" s="138"/>
      <c r="K18" s="2422" t="s">
        <v>2134</v>
      </c>
      <c r="L18" s="2422">
        <f>IF(C1="",'数据-汇总表'!E3,SUMIF(项目类型,C1,'数据-汇总表'!E17:E26)+SUMIF(项目类型,C1,'数据-汇总表'!I17:I26))</f>
        <v>78.53</v>
      </c>
      <c r="M18" s="2422">
        <f>IF(C1="",'数据-汇总表'!E3,SUMIF(项目类型,C1,'数据-汇总表'!E17:E26))</f>
        <v>78.53</v>
      </c>
    </row>
    <row r="19" spans="1:35" ht="15">
      <c r="A19" s="2428" t="s">
        <v>2135</v>
      </c>
      <c r="B19" s="2429" t="s">
        <v>2136</v>
      </c>
      <c r="C19" s="143">
        <f ca="1">SUMIF(INDIRECT("'"&amp;C4&amp;"'"&amp;"!A:A"),'结果表 (2)'!B19,INDIRECT("'"&amp;C4&amp;"'"&amp;"!B:B"))</f>
        <v>300</v>
      </c>
      <c r="D19" s="144">
        <f ca="1">SUMIF(INDIRECT("'"&amp;D4&amp;"'"&amp;"!A:A"),'结果表 (2)'!B19,INDIRECT("'"&amp;D4&amp;"'"&amp;"!B:B"))</f>
        <v>342</v>
      </c>
      <c r="E19" s="2428" t="s">
        <v>2137</v>
      </c>
      <c r="F19" s="2429" t="s">
        <v>2136</v>
      </c>
      <c r="G19" s="145">
        <f ca="1">ROUND(C19*$C$18+D19*$D$18,0)</f>
        <v>321</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 (2)'!B20,INDIRECT("'"&amp;C4&amp;"'"&amp;"!B:B"))</f>
        <v>38202</v>
      </c>
      <c r="D20" s="147">
        <f ca="1">SUMIF(INDIRECT("'"&amp;D4&amp;"'"&amp;"!A:A"),'结果表 (2)'!B20,INDIRECT("'"&amp;D4&amp;"'"&amp;"!B:B"))</f>
        <v>43599</v>
      </c>
      <c r="E20" s="2431"/>
      <c r="F20" s="1245" t="s">
        <v>2140</v>
      </c>
      <c r="G20" s="148">
        <f ca="1">ROUND(C20*$C$18+D20*$D$18,0)</f>
        <v>40901</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0.1399999999999999</v>
      </c>
      <c r="E22" s="138"/>
      <c r="F22" s="138"/>
      <c r="G22" s="138"/>
      <c r="H22" s="138"/>
      <c r="I22" s="138"/>
    </row>
    <row r="23" spans="1:35" ht="13.5" thickBot="1">
      <c r="A23" s="2412"/>
      <c r="B23" s="2412"/>
      <c r="C23" s="2412"/>
      <c r="D23" s="2412"/>
      <c r="E23" s="138"/>
      <c r="F23" s="138"/>
      <c r="G23" s="138"/>
      <c r="H23" s="138"/>
      <c r="I23" s="138"/>
    </row>
    <row r="24" spans="1:35" ht="14.25">
      <c r="A24" s="3102" t="s">
        <v>2144</v>
      </c>
      <c r="B24" s="2429" t="s">
        <v>2136</v>
      </c>
      <c r="C24" s="145">
        <f>IF(B30=0,0,D30)</f>
        <v>0</v>
      </c>
      <c r="D24" s="2436"/>
      <c r="E24" s="138"/>
      <c r="F24" s="138"/>
      <c r="G24" s="138"/>
      <c r="H24" s="138"/>
      <c r="I24" s="138"/>
    </row>
    <row r="25" spans="1:35" ht="14.25">
      <c r="A25" s="3103"/>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321</v>
      </c>
      <c r="D32" s="2443" t="s">
        <v>2151</v>
      </c>
      <c r="E32" s="138"/>
      <c r="F32" s="138"/>
      <c r="G32" s="138"/>
      <c r="H32" s="138"/>
      <c r="I32" s="138"/>
    </row>
    <row r="33" spans="1:15" ht="15">
      <c r="A33" s="956" t="s">
        <v>2152</v>
      </c>
      <c r="B33" s="2444"/>
      <c r="C33" s="2445"/>
      <c r="D33" s="2446"/>
      <c r="E33" s="2447" t="s">
        <v>2153</v>
      </c>
      <c r="F33" s="2981"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20" t="s">
        <v>2158</v>
      </c>
      <c r="B36" s="2455" t="s">
        <v>2159</v>
      </c>
      <c r="C36" s="154"/>
      <c r="D36" s="2456"/>
      <c r="E36" s="2457"/>
      <c r="F36" s="2458"/>
      <c r="G36" s="138"/>
      <c r="H36" s="138"/>
      <c r="I36" s="138"/>
    </row>
    <row r="37" spans="1:15" ht="15.75" thickBot="1">
      <c r="A37" s="3121"/>
      <c r="B37" s="2261" t="s">
        <v>2160</v>
      </c>
      <c r="C37" s="156"/>
      <c r="D37" s="1390"/>
      <c r="E37" s="1390"/>
      <c r="F37" s="2458"/>
      <c r="G37" s="138"/>
      <c r="H37" s="138"/>
      <c r="I37" s="138"/>
    </row>
    <row r="38" spans="1:15" ht="15.75" thickBot="1">
      <c r="A38" s="3122"/>
      <c r="B38" s="2459" t="s">
        <v>2161</v>
      </c>
      <c r="C38" s="726"/>
      <c r="D38" s="2460" t="s">
        <v>2162</v>
      </c>
      <c r="E38" s="1390"/>
      <c r="F38" s="2458"/>
      <c r="G38" s="138"/>
      <c r="H38" s="138"/>
      <c r="I38" s="138"/>
    </row>
    <row r="39" spans="1:15" ht="15">
      <c r="A39" s="2431" t="s">
        <v>2163</v>
      </c>
      <c r="B39" s="2461" t="s">
        <v>2146</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099" t="s">
        <v>2172</v>
      </c>
      <c r="B45" s="3100"/>
      <c r="C45" s="3101"/>
      <c r="D45" s="164">
        <f ca="1">ROUND(H101*F45,0)</f>
        <v>321</v>
      </c>
      <c r="E45" s="165" t="s">
        <v>2173</v>
      </c>
      <c r="F45" s="166">
        <v>1</v>
      </c>
      <c r="G45" s="167" t="s">
        <v>2174</v>
      </c>
      <c r="H45" s="138"/>
      <c r="I45" s="138"/>
      <c r="J45" s="3159" t="s">
        <v>2175</v>
      </c>
      <c r="K45" s="3159"/>
      <c r="L45" s="3159"/>
      <c r="M45" s="3159"/>
      <c r="N45" s="3159"/>
      <c r="O45" s="3159"/>
    </row>
    <row r="46" spans="1:15" ht="14.25" customHeight="1">
      <c r="A46" s="3096" t="s">
        <v>2176</v>
      </c>
      <c r="B46" s="3097"/>
      <c r="C46" s="3097"/>
      <c r="D46" s="3097"/>
      <c r="E46" s="3097"/>
      <c r="F46" s="3097"/>
      <c r="G46" s="3098"/>
      <c r="H46" s="2474"/>
      <c r="I46" s="168"/>
      <c r="J46" s="2986">
        <v>1</v>
      </c>
      <c r="K46" s="3159" t="s">
        <v>2177</v>
      </c>
      <c r="L46" s="3159"/>
      <c r="M46" s="3179"/>
      <c r="N46" s="3179"/>
      <c r="O46" s="3179"/>
    </row>
    <row r="47" spans="1:15" ht="12" customHeight="1">
      <c r="A47" s="169" t="s">
        <v>2178</v>
      </c>
      <c r="B47" s="170"/>
      <c r="C47" s="171"/>
      <c r="D47" s="172" t="s">
        <v>2179</v>
      </c>
      <c r="E47" s="24" t="s">
        <v>2180</v>
      </c>
      <c r="F47" s="173" t="s">
        <v>2181</v>
      </c>
      <c r="G47" s="174" t="s">
        <v>2182</v>
      </c>
      <c r="H47" s="2474"/>
      <c r="I47" s="168"/>
      <c r="J47" s="2986">
        <v>2</v>
      </c>
      <c r="K47" s="3159" t="s">
        <v>2183</v>
      </c>
      <c r="L47" s="3159"/>
      <c r="M47" s="3180">
        <f>'数据-取费表'!B2</f>
        <v>43718</v>
      </c>
      <c r="N47" s="3180"/>
      <c r="O47" s="3180"/>
    </row>
    <row r="48" spans="1:15" ht="25.5">
      <c r="A48" s="3127" t="s">
        <v>2184</v>
      </c>
      <c r="B48" s="3110"/>
      <c r="C48" s="3110"/>
      <c r="D48" s="140">
        <f>IF(H48="情况1",0,IF(H48="情况2",D52,IF(H48="情况3",D53,IF(H48="情况4",D54))))</f>
        <v>0</v>
      </c>
      <c r="E48" s="2995" t="str">
        <f>IF(H48="情况4","(销售额-原购置价)×税（费）率","销售额×税（费）率")</f>
        <v>销售额×税（费）率</v>
      </c>
      <c r="F48" s="175" t="str">
        <f>IF(H48="情况1","免征",'数据-取费表'!B41)</f>
        <v>免征</v>
      </c>
      <c r="G48" s="2475" t="s">
        <v>2185</v>
      </c>
      <c r="H48" s="2476" t="s">
        <v>2186</v>
      </c>
      <c r="I48" s="2474"/>
      <c r="J48" s="2986">
        <v>3</v>
      </c>
      <c r="K48" s="3159" t="s">
        <v>2187</v>
      </c>
      <c r="L48" s="3159"/>
      <c r="M48" s="3181">
        <f ca="1">H101</f>
        <v>321</v>
      </c>
      <c r="N48" s="3181"/>
      <c r="O48" s="3181"/>
    </row>
    <row r="49" spans="1:35" ht="25.5" customHeight="1">
      <c r="A49" s="176" t="s">
        <v>2188</v>
      </c>
      <c r="B49" s="3095" t="s">
        <v>2189</v>
      </c>
      <c r="C49" s="3095"/>
      <c r="D49" s="177">
        <v>0</v>
      </c>
      <c r="E49" s="23" t="s">
        <v>2190</v>
      </c>
      <c r="F49" s="28" t="s">
        <v>34</v>
      </c>
      <c r="G49" s="3165"/>
      <c r="H49" s="138"/>
      <c r="I49" s="2477"/>
      <c r="J49" s="2986">
        <v>4</v>
      </c>
      <c r="K49" s="3159" t="str">
        <f>IF(项目基本情况!E8="房地产抵押价值","房地产抵押价值","抵押担保权已注销时的房地产抵押价值")</f>
        <v>房地产抵押价值</v>
      </c>
      <c r="L49" s="3159"/>
      <c r="M49" s="3181">
        <f ca="1">IF(项目基本情况!E8="房地产抵押价值",H107,H109)</f>
        <v>321</v>
      </c>
      <c r="N49" s="3181"/>
      <c r="O49" s="3181"/>
    </row>
    <row r="50" spans="1:35" ht="25.5" customHeight="1">
      <c r="A50" s="178"/>
      <c r="B50" s="3095" t="s">
        <v>2191</v>
      </c>
      <c r="C50" s="3095"/>
      <c r="D50" s="179"/>
      <c r="E50" s="31"/>
      <c r="F50" s="180"/>
      <c r="G50" s="3166"/>
      <c r="H50" s="138"/>
      <c r="I50" s="2477"/>
      <c r="J50" s="3159" t="s">
        <v>2192</v>
      </c>
      <c r="K50" s="3159"/>
      <c r="L50" s="3159"/>
      <c r="M50" s="3159"/>
      <c r="N50" s="3159"/>
      <c r="O50" s="3159"/>
    </row>
    <row r="51" spans="1:35" ht="12" customHeight="1">
      <c r="A51" s="181"/>
      <c r="B51" s="3095" t="s">
        <v>2193</v>
      </c>
      <c r="C51" s="3095"/>
      <c r="D51" s="182"/>
      <c r="E51" s="30"/>
      <c r="F51" s="180"/>
      <c r="G51" s="3167"/>
      <c r="H51" s="138"/>
      <c r="I51" s="2477"/>
      <c r="J51" s="2983" t="s">
        <v>2194</v>
      </c>
      <c r="K51" s="3159" t="s">
        <v>2195</v>
      </c>
      <c r="L51" s="3159"/>
      <c r="M51" s="2983" t="s">
        <v>2196</v>
      </c>
      <c r="N51" s="2983" t="s">
        <v>2197</v>
      </c>
      <c r="O51" s="2983" t="s">
        <v>2198</v>
      </c>
    </row>
    <row r="52" spans="1:35" ht="24" customHeight="1">
      <c r="A52" s="183" t="s">
        <v>2199</v>
      </c>
      <c r="B52" s="3095" t="s">
        <v>2200</v>
      </c>
      <c r="C52" s="3095"/>
      <c r="D52" s="182">
        <f ca="1">ROUND(D45*'数据-取费表'!B41/(1+'数据-取费表'!C42),0)</f>
        <v>17</v>
      </c>
      <c r="E52" s="11" t="s">
        <v>2201</v>
      </c>
      <c r="F52" s="184">
        <f>'数据-取费表'!B41</f>
        <v>5.6000000000000001E-2</v>
      </c>
      <c r="G52" s="2479"/>
      <c r="H52" s="138"/>
      <c r="I52" s="2477"/>
      <c r="J52" s="2986">
        <v>1</v>
      </c>
      <c r="K52" s="3160" t="s">
        <v>2202</v>
      </c>
      <c r="L52" s="3160"/>
      <c r="M52" s="1749">
        <f>D48</f>
        <v>0</v>
      </c>
      <c r="N52" s="2986" t="str">
        <f>E48</f>
        <v>销售额×税（费）率</v>
      </c>
      <c r="O52" s="1750" t="str">
        <f>F48</f>
        <v>免征</v>
      </c>
    </row>
    <row r="53" spans="1:35" ht="12" customHeight="1">
      <c r="A53" s="183" t="s">
        <v>2203</v>
      </c>
      <c r="B53" s="3118" t="s">
        <v>2204</v>
      </c>
      <c r="C53" s="3119"/>
      <c r="D53" s="182">
        <f ca="1">ROUND(D45*'数据-取费表'!B41/(1+'数据-取费表'!C42),0)</f>
        <v>17</v>
      </c>
      <c r="E53" s="11" t="s">
        <v>2201</v>
      </c>
      <c r="F53" s="184">
        <f>'数据-取费表'!B41</f>
        <v>5.6000000000000001E-2</v>
      </c>
      <c r="G53" s="2479"/>
      <c r="H53" s="138"/>
      <c r="I53" s="2477"/>
      <c r="J53" s="2986">
        <v>2</v>
      </c>
      <c r="K53" s="3160" t="s">
        <v>2205</v>
      </c>
      <c r="L53" s="3160"/>
      <c r="M53" s="1749">
        <f t="shared" ref="M53:O54" ca="1" si="0">D55</f>
        <v>0</v>
      </c>
      <c r="N53" s="2986" t="str">
        <f t="shared" si="0"/>
        <v>销售额×税（费）率</v>
      </c>
      <c r="O53" s="1750">
        <f t="shared" si="0"/>
        <v>5.0000000000000001E-4</v>
      </c>
    </row>
    <row r="54" spans="1:35" ht="12" customHeight="1">
      <c r="A54" s="183" t="s">
        <v>2206</v>
      </c>
      <c r="B54" s="3118" t="s">
        <v>2207</v>
      </c>
      <c r="C54" s="3119"/>
      <c r="D54" s="182">
        <f ca="1">C68</f>
        <v>17</v>
      </c>
      <c r="E54" s="30" t="s">
        <v>2208</v>
      </c>
      <c r="F54" s="184">
        <f>'数据-取费表'!B41</f>
        <v>5.6000000000000001E-2</v>
      </c>
      <c r="G54" s="2479"/>
      <c r="H54" s="2480"/>
      <c r="I54" s="2477"/>
      <c r="J54" s="2986">
        <v>3</v>
      </c>
      <c r="K54" s="3160" t="s">
        <v>2209</v>
      </c>
      <c r="L54" s="3160"/>
      <c r="M54" s="1749">
        <f t="shared" ca="1" si="0"/>
        <v>182</v>
      </c>
      <c r="N54" s="2986" t="str">
        <f t="shared" si="0"/>
        <v>增值额×税（费）率</v>
      </c>
      <c r="O54" s="1751" t="str">
        <f t="shared" si="0"/>
        <v>——</v>
      </c>
    </row>
    <row r="55" spans="1:35" ht="24" customHeight="1">
      <c r="A55" s="3109" t="s">
        <v>2210</v>
      </c>
      <c r="B55" s="3110"/>
      <c r="C55" s="3110"/>
      <c r="D55" s="185">
        <f ca="1">IF(H55="个人住宅",0,ROUND(D45*I55,0))</f>
        <v>0</v>
      </c>
      <c r="E55" s="11" t="s">
        <v>2211</v>
      </c>
      <c r="F55" s="184">
        <f>IF(H55="正常",I55,"免征")</f>
        <v>5.0000000000000001E-4</v>
      </c>
      <c r="G55" s="2479"/>
      <c r="H55" s="2476" t="s">
        <v>2212</v>
      </c>
      <c r="I55" s="186">
        <f>'数据-取费表'!B49</f>
        <v>5.0000000000000001E-4</v>
      </c>
      <c r="J55" s="2986" t="str">
        <f>IF(H59="非个人房产","",4)</f>
        <v/>
      </c>
      <c r="K55" s="3160" t="str">
        <f>IF(H59="非个人房产","——","个人所得税")</f>
        <v>——</v>
      </c>
      <c r="L55" s="3160"/>
      <c r="M55" s="1752" t="str">
        <f>D59</f>
        <v>——</v>
      </c>
      <c r="N55" s="2987" t="str">
        <f>E59</f>
        <v>——</v>
      </c>
      <c r="O55" s="1753" t="str">
        <f>F59</f>
        <v>——</v>
      </c>
    </row>
    <row r="56" spans="1:35" ht="24.75">
      <c r="A56" s="3109" t="s">
        <v>2213</v>
      </c>
      <c r="B56" s="3110"/>
      <c r="C56" s="3110"/>
      <c r="D56" s="185">
        <f ca="1">IF(H56="个人住宅",D57,D58)</f>
        <v>182</v>
      </c>
      <c r="E56" s="11" t="s">
        <v>2214</v>
      </c>
      <c r="F56" s="184" t="str">
        <f>IF(H56="正常",F58,"免征")</f>
        <v>——</v>
      </c>
      <c r="G56" s="2481" t="s">
        <v>2215</v>
      </c>
      <c r="H56" s="2482" t="s">
        <v>2212</v>
      </c>
      <c r="I56" s="2483"/>
      <c r="J56" s="2986" t="str">
        <f>IF(项目基本情况!K6="上海银行",IF(J55="",4,J55+1),"")</f>
        <v/>
      </c>
      <c r="K56" s="3183" t="str">
        <f>IF(项目基本情况!K6="上海银行","其他处置费用","")</f>
        <v/>
      </c>
      <c r="L56" s="3184"/>
      <c r="M56" s="1749" t="str">
        <f>IF(项目基本情况!K6="上海银行",M69,"")</f>
        <v/>
      </c>
      <c r="N56" s="3186" t="str">
        <f>IF(项目基本情况!K6="上海银行","包含处置中涉及的律师、诉讼、拍卖、评估等费用","")</f>
        <v/>
      </c>
      <c r="O56" s="3187"/>
    </row>
    <row r="57" spans="1:35" ht="12.75">
      <c r="A57" s="183" t="s">
        <v>2188</v>
      </c>
      <c r="B57" s="3125" t="s">
        <v>2216</v>
      </c>
      <c r="C57" s="3134"/>
      <c r="D57" s="187">
        <v>0</v>
      </c>
      <c r="E57" s="23" t="s">
        <v>2190</v>
      </c>
      <c r="F57" s="155"/>
      <c r="G57" s="2479"/>
      <c r="H57" s="2483"/>
      <c r="I57" s="2483"/>
      <c r="J57" s="3160">
        <f>IF(AND(J55="",J56=""),4,IF(项目基本情况!K6="上海银行",'结果表 (2)'!J56+1,'结果表 (2)'!J55+1))</f>
        <v>4</v>
      </c>
      <c r="K57" s="3160" t="s">
        <v>2217</v>
      </c>
      <c r="L57" s="2484" t="s">
        <v>2218</v>
      </c>
      <c r="M57" s="1754"/>
      <c r="N57" s="1755">
        <f ca="1">SUMIF(M52:M56,"&lt;9e307")</f>
        <v>182</v>
      </c>
      <c r="O57" s="2485"/>
      <c r="P57" s="1748">
        <f ca="1">N57/M49</f>
        <v>0.5669781931464174</v>
      </c>
    </row>
    <row r="58" spans="1:35" ht="24.75">
      <c r="A58" s="183" t="s">
        <v>2199</v>
      </c>
      <c r="B58" s="3125" t="s">
        <v>2219</v>
      </c>
      <c r="C58" s="3126"/>
      <c r="D58" s="185">
        <f ca="1">IF(H58="转让取得",C81,C97)</f>
        <v>182</v>
      </c>
      <c r="E58" s="11" t="s">
        <v>2214</v>
      </c>
      <c r="F58" s="24" t="s">
        <v>34</v>
      </c>
      <c r="G58" s="2479"/>
      <c r="H58" s="2482" t="s">
        <v>2220</v>
      </c>
      <c r="I58" s="2483"/>
      <c r="J58" s="3160"/>
      <c r="K58" s="3160"/>
      <c r="L58" s="2484" t="s">
        <v>2221</v>
      </c>
      <c r="M58" s="1756"/>
      <c r="N58" s="2486" t="str">
        <f ca="1">NUMBERSTRING(INT(N57*10000),2)&amp;"元整"</f>
        <v>壹佰捌拾贰万元整</v>
      </c>
      <c r="O58" s="2487"/>
    </row>
    <row r="59" spans="1:35" ht="24.75" thickBot="1">
      <c r="A59" s="3163" t="s">
        <v>2222</v>
      </c>
      <c r="B59" s="3164"/>
      <c r="C59" s="3164"/>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61">
        <f>J57+1</f>
        <v>5</v>
      </c>
      <c r="K59" s="3160" t="s">
        <v>2224</v>
      </c>
      <c r="L59" s="2986" t="s">
        <v>2218</v>
      </c>
      <c r="M59" s="1757"/>
      <c r="N59" s="1758">
        <f ca="1">M49-N57</f>
        <v>139</v>
      </c>
      <c r="O59" s="2489"/>
    </row>
    <row r="60" spans="1:35" ht="12" customHeight="1">
      <c r="A60" s="2490"/>
      <c r="B60" s="2412"/>
      <c r="C60" s="2412"/>
      <c r="D60" s="2412"/>
      <c r="E60" s="2160"/>
      <c r="F60" s="2483"/>
      <c r="G60" s="2483"/>
      <c r="H60" s="2491"/>
      <c r="I60" s="138"/>
      <c r="J60" s="3162"/>
      <c r="K60" s="3160"/>
      <c r="L60" s="2484" t="s">
        <v>2221</v>
      </c>
      <c r="M60" s="1756"/>
      <c r="N60" s="2486" t="str">
        <f ca="1">NUMBERSTRING(INT(N59*10000),2)&amp;"元整"</f>
        <v>壹佰叁拾玖万元整</v>
      </c>
      <c r="O60" s="2487"/>
    </row>
    <row r="61" spans="1:35" ht="13.5" thickBot="1">
      <c r="A61" s="3107" t="s">
        <v>2225</v>
      </c>
      <c r="B61" s="3107"/>
      <c r="C61" s="3107"/>
      <c r="D61" s="3107"/>
      <c r="E61" s="3107"/>
      <c r="F61" s="2483"/>
      <c r="G61" s="2483"/>
      <c r="H61" s="2491"/>
      <c r="I61" s="138"/>
      <c r="J61" s="2986">
        <f>J59+1</f>
        <v>6</v>
      </c>
      <c r="K61" s="3160" t="s">
        <v>2226</v>
      </c>
      <c r="L61" s="3160"/>
      <c r="M61" s="1759"/>
      <c r="N61" s="1760">
        <f ca="1">ROUND(N59*10000/'数据-汇总表'!E3,0)</f>
        <v>3194</v>
      </c>
      <c r="O61" s="2492"/>
    </row>
    <row r="62" spans="1:35" ht="12.75">
      <c r="A62" s="3123" t="s">
        <v>2227</v>
      </c>
      <c r="B62" s="3124"/>
      <c r="C62" s="2991"/>
      <c r="D62" s="2991" t="s">
        <v>2228</v>
      </c>
      <c r="E62" s="192" t="s">
        <v>2229</v>
      </c>
      <c r="F62" s="2483"/>
      <c r="G62" s="2483"/>
      <c r="H62" s="2491"/>
      <c r="I62" s="138"/>
    </row>
    <row r="63" spans="1:35" ht="12.75">
      <c r="A63" s="203" t="s">
        <v>775</v>
      </c>
      <c r="B63" s="193" t="s">
        <v>2230</v>
      </c>
      <c r="C63" s="194">
        <f ca="1">ROUND((C64+C65)/(1+'数据-取费表'!C42),0)</f>
        <v>306</v>
      </c>
      <c r="D63" s="195"/>
      <c r="E63" s="196"/>
      <c r="F63" s="2483"/>
      <c r="G63" s="2483"/>
      <c r="H63" s="2491"/>
      <c r="I63" s="138"/>
      <c r="J63" s="3185" t="s">
        <v>2231</v>
      </c>
      <c r="K63" s="2984" t="s">
        <v>2232</v>
      </c>
      <c r="L63" s="1747">
        <f ca="1">IF(M49&gt;10000,M49*0.5%,IF(AND(M49&gt;1000,M49&lt;=10000),M49*1%,IF(AND(M49&gt;100,M49&lt;=1000),M49*3%,IF(AND(M49&gt;10,M49&lt;=100),M49*5%,M49*8%))))</f>
        <v>9.629999999999999</v>
      </c>
      <c r="M63" s="24">
        <f ca="1">ROUND(L63,1)</f>
        <v>9.6</v>
      </c>
      <c r="Z63" s="2417"/>
      <c r="AI63" s="2418"/>
    </row>
    <row r="64" spans="1:35" ht="14.25" customHeight="1">
      <c r="A64" s="197" t="s">
        <v>770</v>
      </c>
      <c r="B64" s="198" t="s">
        <v>2233</v>
      </c>
      <c r="C64" s="199">
        <f ca="1">D45</f>
        <v>321</v>
      </c>
      <c r="D64" s="200" t="s">
        <v>32</v>
      </c>
      <c r="E64" s="201"/>
      <c r="F64" s="2483"/>
      <c r="G64" s="2483"/>
      <c r="H64" s="2491"/>
      <c r="I64" s="138"/>
      <c r="J64" s="3185"/>
      <c r="K64" s="2984" t="s">
        <v>2234</v>
      </c>
      <c r="L64" s="1747">
        <f ca="1">IF(M49&gt;2000,M49*0.5%,IF(AND(M49&gt;1000,M49&lt;=2000),M49*0.6%,IF(AND(M49&gt;500,M49&lt;=1000),M49*0.7%,IF(AND(M49&gt;200,M49&lt;=500),M49*0.8%,IF(AND(M49&gt;100,M49&lt;=200),M49*0.9%,IF(AND(M49&gt;50,M49&lt;=100),M49*1%,IF(AND(M49&gt;20,M49&lt;=50),M49*1.5%,IF(AND(M49&gt;10,M49&lt;=20),M49*2%,IF(AND(M49&gt;1,M49&lt;=10),M49*2.5%)))))))))</f>
        <v>2.5680000000000001</v>
      </c>
      <c r="M64" s="24">
        <f t="shared" ref="M64:M65" ca="1" si="1">ROUND(L64,1)</f>
        <v>2.6</v>
      </c>
      <c r="N64" s="138" t="s">
        <v>2235</v>
      </c>
      <c r="Z64" s="2417"/>
      <c r="AI64" s="2418"/>
    </row>
    <row r="65" spans="1:35" ht="14.25" customHeight="1">
      <c r="A65" s="197" t="s">
        <v>771</v>
      </c>
      <c r="B65" s="198" t="s">
        <v>2236</v>
      </c>
      <c r="C65" s="202"/>
      <c r="D65" s="200"/>
      <c r="E65" s="201"/>
      <c r="F65" s="2483"/>
      <c r="G65" s="2483"/>
      <c r="H65" s="2491"/>
      <c r="I65" s="138"/>
      <c r="J65" s="3185"/>
      <c r="K65" s="2984" t="s">
        <v>2237</v>
      </c>
      <c r="L65" s="1747">
        <f ca="1">IF(M49&gt;1000,M49*0.1%,IF(AND(M49&gt;500,M49&lt;=1000),M49*0.5%,IF(AND(M49&gt;50,M49&lt;=500),M49*1%,IF(AND(M49&gt;1,M49&lt;=50),M49*1.5%))))</f>
        <v>3.21</v>
      </c>
      <c r="M65" s="24">
        <f t="shared" ca="1" si="1"/>
        <v>3.2</v>
      </c>
      <c r="N65" s="138" t="s">
        <v>2235</v>
      </c>
      <c r="Z65" s="2417"/>
      <c r="AI65" s="2418"/>
    </row>
    <row r="66" spans="1:35" ht="14.25" customHeight="1">
      <c r="A66" s="203" t="s">
        <v>772</v>
      </c>
      <c r="B66" s="204" t="s">
        <v>2238</v>
      </c>
      <c r="C66" s="205"/>
      <c r="D66" s="206" t="s">
        <v>32</v>
      </c>
      <c r="E66" s="1771" t="s">
        <v>1367</v>
      </c>
      <c r="F66" s="2483"/>
      <c r="G66" s="2483"/>
      <c r="H66" s="2491"/>
      <c r="I66" s="138"/>
      <c r="J66" s="3185"/>
      <c r="K66" s="2984" t="s">
        <v>2239</v>
      </c>
      <c r="L66" s="1747">
        <f ca="1">M49*0.5%</f>
        <v>1.605</v>
      </c>
      <c r="M66" s="24">
        <f ca="1">IF(L66&gt;0.5,0.5,ROUND(L66,0))</f>
        <v>0.5</v>
      </c>
      <c r="N66" s="138" t="s">
        <v>2240</v>
      </c>
      <c r="Z66" s="2417"/>
      <c r="AI66" s="2418"/>
    </row>
    <row r="67" spans="1:35" ht="14.25" customHeight="1">
      <c r="A67" s="203" t="s">
        <v>773</v>
      </c>
      <c r="B67" s="204" t="s">
        <v>2241</v>
      </c>
      <c r="C67" s="207">
        <f ca="1">C63-C66</f>
        <v>306</v>
      </c>
      <c r="D67" s="200" t="s">
        <v>32</v>
      </c>
      <c r="E67" s="201"/>
      <c r="F67" s="2483"/>
      <c r="G67" s="2483"/>
      <c r="H67" s="2491"/>
      <c r="I67" s="138"/>
      <c r="J67" s="3185"/>
      <c r="K67" s="2984" t="s">
        <v>2242</v>
      </c>
      <c r="L67" s="1747">
        <f ca="1">IF(M49&gt;=10000,(8.25+(M49-10000)*0.01%),IF(AND(M49&gt;=8000,M49&lt;10000),(7.85+(M49-8000)*0.02%),IF(AND(M49&gt;=5000,M49&lt;8000),(6.65+(M49-5000)*0.04%),IF(AND(M49&gt;=2000,M49&lt;5000),(4.25+(PM49-2000)*0.08%),IF(AND(M49&gt;=1000,M49&lt;2000),(2.75+(M49-1000)*0.15%),IF(AND(M49&gt;=100,M49&lt;1000),(0.5+(M49-100)*0.25%),IF(AND(M49&gt;0,M49&lt;100),M49*0.5%)))))))</f>
        <v>1.0525</v>
      </c>
      <c r="M67" s="24">
        <f ca="1">ROUND(L67*0.9,1)</f>
        <v>0.9</v>
      </c>
      <c r="Z67" s="2417"/>
      <c r="AI67" s="2418"/>
    </row>
    <row r="68" spans="1:35" ht="14.25" customHeight="1" thickBot="1">
      <c r="A68" s="208" t="s">
        <v>774</v>
      </c>
      <c r="B68" s="209" t="s">
        <v>2243</v>
      </c>
      <c r="C68" s="210">
        <f ca="1">IF(C67&lt;=0,0,ROUND(C67*D68,0))</f>
        <v>17</v>
      </c>
      <c r="D68" s="211">
        <f>'数据-取费表'!B41</f>
        <v>5.6000000000000001E-2</v>
      </c>
      <c r="E68" s="212"/>
      <c r="F68" s="2483"/>
      <c r="G68" s="2483"/>
      <c r="H68" s="2491"/>
      <c r="I68" s="138"/>
      <c r="J68" s="3185"/>
      <c r="K68" s="2984" t="s">
        <v>2244</v>
      </c>
      <c r="L68" s="1747">
        <f ca="1">IF(M49&gt;10000,M49*0.5%,IF(AND(M49&gt;5000,M49&lt;=10000),M49*1%,IF(AND(M49&gt;1000,M49&lt;=5000),M49*2%,IF(AND(M49&gt;200,M49&lt;=1000),M49*3%,M49*5%))))</f>
        <v>9.629999999999999</v>
      </c>
      <c r="M68" s="24">
        <f ca="1">ROUND(L68,1)</f>
        <v>9.6</v>
      </c>
      <c r="Z68" s="2417"/>
      <c r="AI68" s="2418"/>
    </row>
    <row r="69" spans="1:35" s="2440" customFormat="1" ht="16.5" customHeight="1">
      <c r="A69" s="2494"/>
      <c r="B69" s="2495"/>
      <c r="C69" s="2496"/>
      <c r="D69" s="2497"/>
      <c r="E69" s="2498"/>
      <c r="F69" s="2160"/>
      <c r="G69" s="2160"/>
      <c r="H69" s="2159"/>
      <c r="I69" s="2412"/>
      <c r="J69" s="3185"/>
      <c r="K69" s="2984" t="s">
        <v>2245</v>
      </c>
      <c r="L69" s="2499"/>
      <c r="M69" s="24">
        <f ca="1">ROUND(SUM(M63:M68),0)</f>
        <v>26</v>
      </c>
      <c r="N69" s="1748">
        <f ca="1">M69/M49</f>
        <v>8.0996884735202487E-2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44" t="s">
        <v>2246</v>
      </c>
      <c r="B70" s="3145"/>
      <c r="C70" s="3145"/>
      <c r="D70" s="3145"/>
      <c r="E70" s="3145"/>
      <c r="F70" s="3145"/>
      <c r="G70" s="3145"/>
      <c r="H70" s="314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3" t="s">
        <v>2227</v>
      </c>
      <c r="B71" s="3124"/>
      <c r="C71" s="2991"/>
      <c r="D71" s="299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306</v>
      </c>
      <c r="D72" s="200" t="s">
        <v>32</v>
      </c>
      <c r="E72" s="2993"/>
      <c r="F72" s="2992"/>
      <c r="G72" s="29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2</v>
      </c>
      <c r="D73" s="200" t="s">
        <v>32</v>
      </c>
      <c r="E73" s="2993"/>
      <c r="F73" s="2992"/>
      <c r="G73" s="29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3"/>
      <c r="F74" s="2992"/>
      <c r="G74" s="29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18" t="s">
        <v>2255</v>
      </c>
      <c r="F76" s="3095"/>
      <c r="G76" s="3095"/>
      <c r="H76" s="314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5" t="s">
        <v>2257</v>
      </c>
      <c r="F77" s="224"/>
      <c r="G77" s="2507" t="s">
        <v>2258</v>
      </c>
      <c r="H77" s="299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2</v>
      </c>
      <c r="D78" s="226">
        <f>'数据-取费表'!B43</f>
        <v>6.000000000000001E-3</v>
      </c>
      <c r="E78" s="3104" t="s">
        <v>2260</v>
      </c>
      <c r="F78" s="3105"/>
      <c r="G78" s="3105"/>
      <c r="H78" s="311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304</v>
      </c>
      <c r="D79" s="200" t="s">
        <v>32</v>
      </c>
      <c r="E79" s="2993"/>
      <c r="F79" s="2992"/>
      <c r="G79" s="29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152</v>
      </c>
      <c r="D80" s="200" t="s">
        <v>32</v>
      </c>
      <c r="E80" s="2985" t="str">
        <f ca="1">IF(C80&gt;=200%,"增值额超过扣除项目金额200%",IF(C80&gt;=100%,"增值额超过扣除项目金额100%，未超过200%",IF(C80&gt;=50%,"增值额超过扣除项目金额50%，未超过100%",IF(C80&lt;50%,"增值额未超过扣除项目金额50%"))))</f>
        <v>增值额超过扣除项目金额200%</v>
      </c>
      <c r="F80" s="2992"/>
      <c r="G80" s="29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4" t="s">
        <v>2264</v>
      </c>
      <c r="B83" s="3145"/>
      <c r="C83" s="3145"/>
      <c r="D83" s="3145"/>
      <c r="E83" s="3145"/>
      <c r="F83" s="3145"/>
      <c r="G83" s="3145"/>
      <c r="H83" s="314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3" t="s">
        <v>2227</v>
      </c>
      <c r="B84" s="3124"/>
      <c r="C84" s="2991"/>
      <c r="D84" s="299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306</v>
      </c>
      <c r="D85" s="200" t="s">
        <v>32</v>
      </c>
      <c r="E85" s="2993"/>
      <c r="F85" s="2992"/>
      <c r="G85" s="29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2</v>
      </c>
      <c r="D86" s="235"/>
      <c r="E86" s="2993"/>
      <c r="F86" s="2992"/>
      <c r="G86" s="29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88"/>
      <c r="F87" s="2989"/>
      <c r="G87" s="2989"/>
      <c r="H87" s="299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8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89"/>
      <c r="G89" s="2989"/>
      <c r="H89" s="299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89"/>
      <c r="G90" s="2989"/>
      <c r="H90" s="299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04" t="s">
        <v>2273</v>
      </c>
      <c r="F91" s="3105"/>
      <c r="G91" s="3105"/>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04" t="s">
        <v>2277</v>
      </c>
      <c r="F92" s="3105"/>
      <c r="G92" s="3105"/>
      <c r="H92" s="311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2</v>
      </c>
      <c r="D93" s="226">
        <f>'数据-取费表'!B43</f>
        <v>6.000000000000001E-3</v>
      </c>
      <c r="E93" s="3104" t="s">
        <v>2260</v>
      </c>
      <c r="F93" s="3105"/>
      <c r="G93" s="3105"/>
      <c r="H93" s="311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15" t="s">
        <v>2281</v>
      </c>
      <c r="F94" s="3116"/>
      <c r="G94" s="3116"/>
      <c r="H94" s="311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304</v>
      </c>
      <c r="D95" s="200" t="s">
        <v>32</v>
      </c>
      <c r="E95" s="2993"/>
      <c r="F95" s="2992"/>
      <c r="G95" s="29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152</v>
      </c>
      <c r="D96" s="200" t="s">
        <v>32</v>
      </c>
      <c r="E96" s="2985" t="str">
        <f ca="1">IF(C96&gt;=200%,"增值额超过扣除项目金额200%",IF(C96&gt;=100%,"增值额超过扣除项目金额100%，未超过200%",IF(C96&gt;=50%,"增值额超过扣除项目金额50%，未超过100%",IF(C96&lt;50%,"增值额未超过扣除项目金额50%"))))</f>
        <v>增值额超过扣除项目金额200%</v>
      </c>
      <c r="F96" s="2992"/>
      <c r="G96" s="29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182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89" t="s">
        <v>2283</v>
      </c>
      <c r="B100" s="3090"/>
      <c r="C100" s="3090"/>
      <c r="D100" s="3106"/>
      <c r="E100" s="3090" t="s">
        <v>2284</v>
      </c>
      <c r="F100" s="3090"/>
      <c r="G100" s="3090"/>
      <c r="H100" s="3106"/>
      <c r="I100" s="138"/>
    </row>
    <row r="101" spans="1:35" ht="18.75" customHeight="1">
      <c r="A101" s="3168" t="s">
        <v>2285</v>
      </c>
      <c r="B101" s="3169"/>
      <c r="C101" s="735" t="str">
        <f>C4</f>
        <v>收益法</v>
      </c>
      <c r="D101" s="736" t="str">
        <f>D4</f>
        <v>比较法-办公</v>
      </c>
      <c r="E101" s="3182" t="s">
        <v>2286</v>
      </c>
      <c r="F101" s="3136"/>
      <c r="G101" s="2514" t="s">
        <v>2287</v>
      </c>
      <c r="H101" s="1044">
        <f ca="1">H118</f>
        <v>321</v>
      </c>
      <c r="I101" s="138"/>
    </row>
    <row r="102" spans="1:35" ht="18.75" customHeight="1">
      <c r="A102" s="3138" t="s">
        <v>2288</v>
      </c>
      <c r="B102" s="2514" t="s">
        <v>2287</v>
      </c>
      <c r="C102" s="735">
        <f ca="1">C19</f>
        <v>300</v>
      </c>
      <c r="D102" s="736">
        <f ca="1">D19</f>
        <v>342</v>
      </c>
      <c r="E102" s="3182"/>
      <c r="F102" s="3136"/>
      <c r="G102" s="2514" t="s">
        <v>2289</v>
      </c>
      <c r="H102" s="371">
        <f ca="1">I118</f>
        <v>40876</v>
      </c>
      <c r="I102" s="138"/>
    </row>
    <row r="103" spans="1:35" ht="42.75" customHeight="1">
      <c r="A103" s="3138"/>
      <c r="B103" s="2514" t="s">
        <v>2289</v>
      </c>
      <c r="C103" s="737">
        <f ca="1">C20</f>
        <v>38202</v>
      </c>
      <c r="D103" s="738">
        <f ca="1">D20</f>
        <v>43599</v>
      </c>
      <c r="E103" s="3177" t="s">
        <v>2290</v>
      </c>
      <c r="F103" s="3178"/>
      <c r="G103" s="2515" t="s">
        <v>2291</v>
      </c>
      <c r="H103" s="1044">
        <f>IF(D36="正常操作",H104+H105+H106,H105+H106)</f>
        <v>0</v>
      </c>
      <c r="I103" s="138"/>
    </row>
    <row r="104" spans="1:35" ht="18.75" customHeight="1">
      <c r="A104" s="3138" t="s">
        <v>2292</v>
      </c>
      <c r="B104" s="2516" t="s">
        <v>2287</v>
      </c>
      <c r="C104" s="739">
        <f ca="1">H118</f>
        <v>321</v>
      </c>
      <c r="D104" s="740"/>
      <c r="E104" s="2261" t="s">
        <v>2293</v>
      </c>
      <c r="F104" s="2252"/>
      <c r="G104" s="2515" t="s">
        <v>2291</v>
      </c>
      <c r="H104" s="1045">
        <f>IF(D36="同一抵押权人同一抵押物续贷",C36&amp;"（未扣减，详见特别提示）",C36)</f>
        <v>0</v>
      </c>
      <c r="I104" s="138"/>
    </row>
    <row r="105" spans="1:35" ht="18.75" customHeight="1" thickBot="1">
      <c r="A105" s="3139"/>
      <c r="B105" s="2517" t="s">
        <v>2289</v>
      </c>
      <c r="C105" s="741">
        <f ca="1">I118</f>
        <v>40876</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5" t="str">
        <f>IF(项目基本情况!E8="已注销","——","3.房地产抵押价值")</f>
        <v>3.房地产抵押价值</v>
      </c>
      <c r="F107" s="3136"/>
      <c r="G107" s="2514" t="s">
        <v>2287</v>
      </c>
      <c r="H107" s="1044">
        <f ca="1">IF(E107="——","——",H101-H103)</f>
        <v>321</v>
      </c>
      <c r="I107" s="138"/>
    </row>
    <row r="108" spans="1:35" ht="18.75" customHeight="1">
      <c r="A108" s="138"/>
      <c r="B108" s="138"/>
      <c r="C108" s="138"/>
      <c r="D108" s="138"/>
      <c r="E108" s="3135"/>
      <c r="F108" s="3136"/>
      <c r="G108" s="2514" t="s">
        <v>2289</v>
      </c>
      <c r="H108" s="371">
        <f ca="1">ROUND(H107*10000/'数据-汇总表'!E3,0)</f>
        <v>7376</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4" t="s">
        <v>2287</v>
      </c>
      <c r="H109" s="348" t="str">
        <f>IF(E109="——","——",H101-H105-H106)</f>
        <v>——</v>
      </c>
      <c r="I109" s="138"/>
    </row>
    <row r="110" spans="1:35" ht="18.75" customHeight="1">
      <c r="A110" s="138"/>
      <c r="B110" s="138"/>
      <c r="C110" s="138"/>
      <c r="D110" s="138"/>
      <c r="E110" s="3135"/>
      <c r="F110" s="3136"/>
      <c r="G110" s="2514" t="s">
        <v>2289</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4" t="s">
        <v>2287</v>
      </c>
      <c r="H111" s="1044" t="str">
        <f>IF(E111="——","——",N59)</f>
        <v>——</v>
      </c>
      <c r="I111" s="138"/>
    </row>
    <row r="112" spans="1:35" ht="18.75" customHeight="1" thickBot="1">
      <c r="A112" s="138"/>
      <c r="B112" s="138"/>
      <c r="C112" s="138"/>
      <c r="D112" s="138"/>
      <c r="E112" s="3172"/>
      <c r="F112" s="3173"/>
      <c r="G112" s="2519" t="s">
        <v>2289</v>
      </c>
      <c r="H112" s="789" t="str">
        <f>IF(E111="——","——",N61)</f>
        <v>——</v>
      </c>
      <c r="I112" s="138"/>
    </row>
    <row r="113" spans="1:11" ht="18.75" customHeight="1">
      <c r="A113" s="138"/>
      <c r="B113" s="138"/>
      <c r="C113" s="138"/>
      <c r="D113" s="138"/>
      <c r="E113" s="3140" t="s">
        <v>2295</v>
      </c>
      <c r="F113" s="3140"/>
      <c r="G113" s="3140"/>
      <c r="H113" s="3140"/>
      <c r="I113" s="138"/>
    </row>
    <row r="114" spans="1:11" ht="3.75" customHeight="1">
      <c r="A114" s="2412"/>
      <c r="B114" s="2412"/>
      <c r="C114" s="2412"/>
      <c r="D114" s="2412"/>
      <c r="E114" s="2490"/>
      <c r="F114" s="2490"/>
      <c r="G114" s="2490"/>
      <c r="H114" s="2490"/>
      <c r="I114" s="2412"/>
    </row>
    <row r="115" spans="1:11" ht="18.75" customHeight="1">
      <c r="A115" s="3153" t="s">
        <v>2297</v>
      </c>
      <c r="B115" s="3154"/>
      <c r="C115" s="3154"/>
      <c r="D115" s="3154"/>
      <c r="E115" s="3154"/>
      <c r="F115" s="3154"/>
      <c r="G115" s="3154"/>
      <c r="H115" s="3154"/>
      <c r="I115" s="3155"/>
    </row>
    <row r="116" spans="1:11" ht="27" customHeight="1">
      <c r="A116" s="3046" t="s">
        <v>2298</v>
      </c>
      <c r="B116" s="3141" t="s">
        <v>2299</v>
      </c>
      <c r="C116" s="3141" t="s">
        <v>2300</v>
      </c>
      <c r="D116" s="3157" t="s">
        <v>2301</v>
      </c>
      <c r="E116" s="3158"/>
      <c r="F116" s="3149" t="s">
        <v>2302</v>
      </c>
      <c r="G116" s="3149"/>
      <c r="H116" s="3046" t="s">
        <v>2303</v>
      </c>
      <c r="I116" s="3046"/>
    </row>
    <row r="117" spans="1:11" ht="18.75" customHeight="1">
      <c r="A117" s="3046"/>
      <c r="B117" s="3142"/>
      <c r="C117" s="3142"/>
      <c r="D117" s="2982" t="s">
        <v>2304</v>
      </c>
      <c r="E117" s="2982" t="s">
        <v>2305</v>
      </c>
      <c r="F117" s="2982" t="s">
        <v>2304</v>
      </c>
      <c r="G117" s="2982" t="s">
        <v>2306</v>
      </c>
      <c r="H117" s="2982" t="s">
        <v>2304</v>
      </c>
      <c r="I117" s="2982" t="s">
        <v>2306</v>
      </c>
    </row>
    <row r="118" spans="1:11" ht="24.75" customHeight="1">
      <c r="A118" s="2520" t="str">
        <f>项目基本情况!S2</f>
        <v>北京市丰台区南四环西路128号院2号楼5层610等4套办公用房房地产</v>
      </c>
      <c r="B118" s="2982">
        <f>M18</f>
        <v>78.53</v>
      </c>
      <c r="C118" s="2982">
        <f>M19</f>
        <v>0</v>
      </c>
      <c r="D118" s="2982" t="e">
        <f ca="1">ROUND(IF(D32="总价",C34,E118*B118/10000),0)</f>
        <v>#REF!</v>
      </c>
      <c r="E118" s="2982" t="e">
        <f ca="1">ROUND(IF(C33="自定义",IF(D32="楼面单价",C34,D118*10000/B118),I118-G118),0)</f>
        <v>#REF!</v>
      </c>
      <c r="F118" s="2982" t="e">
        <f ca="1">ROUND(IF(D32="总价",C35,G118*B118/10000),0)</f>
        <v>#REF!</v>
      </c>
      <c r="G118" s="2982" t="e">
        <f ca="1">ROUND(IF(D32="楼面单价",C35,F118*10000/B118),0)</f>
        <v>#REF!</v>
      </c>
      <c r="H118" s="2982">
        <f ca="1">ROUND(IF(D32="总价",C32,I118*B118/10000),0)</f>
        <v>321</v>
      </c>
      <c r="I118" s="2982">
        <f ca="1">ROUND(IF(D32="楼面单价",C32,H118*10000/B118),0)</f>
        <v>40876</v>
      </c>
    </row>
    <row r="119" spans="1:11" ht="18.75" customHeight="1">
      <c r="A119" s="3046" t="s">
        <v>2307</v>
      </c>
      <c r="B119" s="3046"/>
      <c r="C119" s="3046"/>
      <c r="D119" s="3146" t="e">
        <f ca="1">NUMBERSTRING(INT(D118*10000),2)&amp;"元整"</f>
        <v>#REF!</v>
      </c>
      <c r="E119" s="3148"/>
      <c r="F119" s="3146" t="e">
        <f ca="1">NUMBERSTRING(INT(F118*10000),2)&amp;"元整"</f>
        <v>#REF!</v>
      </c>
      <c r="G119" s="3148"/>
      <c r="H119" s="3146" t="str">
        <f ca="1">NUMBERSTRING(INT(H118*10000),2)&amp;"元整"</f>
        <v>叁佰贰拾壹万元整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7" t="str">
        <f>IF(D120=0,"故，本次评估不存在"&amp;A120,"故，本次评估"&amp;A120&amp;"为人民币"&amp;D120&amp;"万元整。")</f>
        <v>故，本次评估不存在估价师知悉的法定优先受偿款</v>
      </c>
    </row>
    <row r="121" spans="1:11" ht="18.75" customHeight="1">
      <c r="A121" s="3150" t="s">
        <v>2307</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321</v>
      </c>
      <c r="E122" s="3175"/>
      <c r="F122" s="3175"/>
      <c r="G122" s="3175"/>
      <c r="H122" s="3175"/>
      <c r="I122" s="3176"/>
    </row>
    <row r="123" spans="1:11" ht="18.75" customHeight="1">
      <c r="A123" s="3046" t="s">
        <v>2307</v>
      </c>
      <c r="B123" s="3046"/>
      <c r="C123" s="3046"/>
      <c r="D123" s="3146" t="str">
        <f ca="1">NUMBERSTRING(INT(D122*10000),2)&amp;"元整"</f>
        <v>叁佰贰拾壹万元整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2307</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2307</v>
      </c>
      <c r="B127" s="3046"/>
      <c r="C127" s="3046"/>
      <c r="D127" s="3146" t="e">
        <f>NUMBERSTRING(INT(D126*10000),2)&amp;"元整"</f>
        <v>#VALUE!</v>
      </c>
      <c r="E127" s="3147"/>
      <c r="F127" s="3147"/>
      <c r="G127" s="3147"/>
      <c r="H127" s="3147"/>
      <c r="I127" s="3148"/>
    </row>
    <row r="128" spans="1:11" ht="21.75" customHeight="1">
      <c r="A128" s="3156" t="s">
        <v>2308</v>
      </c>
      <c r="B128" s="3156"/>
      <c r="C128" s="3156"/>
      <c r="D128" s="3156"/>
      <c r="E128" s="3156"/>
      <c r="F128" s="3156"/>
      <c r="G128" s="3156"/>
      <c r="H128" s="3156"/>
      <c r="I128" s="3156"/>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300</v>
      </c>
      <c r="C2" s="1843" t="s">
        <v>1511</v>
      </c>
      <c r="D2" s="1843"/>
      <c r="E2" s="1844"/>
      <c r="F2" s="1845"/>
      <c r="G2" s="1846"/>
      <c r="H2" s="1838"/>
      <c r="I2" s="1838"/>
      <c r="J2" s="1838"/>
      <c r="K2" s="1839"/>
      <c r="L2" s="1838"/>
      <c r="M2" s="1838"/>
    </row>
    <row r="3" spans="1:37" ht="18" customHeight="1" thickBot="1">
      <c r="A3" s="1847" t="s">
        <v>1512</v>
      </c>
      <c r="B3" s="1848">
        <f ca="1">IF(ISERROR(B2*10000/F43),0,ROUND(B2*10000/F43,0))</f>
        <v>38202</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14</v>
      </c>
      <c r="D5" s="1820" t="s">
        <v>1397</v>
      </c>
      <c r="E5" s="1291"/>
      <c r="F5" s="1292"/>
      <c r="G5" s="1849"/>
      <c r="H5" s="344">
        <v>1</v>
      </c>
      <c r="I5" s="345" t="s">
        <v>1396</v>
      </c>
      <c r="J5" s="1290">
        <f ca="1">J6+J10+J12</f>
        <v>0</v>
      </c>
      <c r="K5" s="1820" t="s">
        <v>1397</v>
      </c>
      <c r="L5" s="1291"/>
      <c r="M5" s="1292"/>
    </row>
    <row r="6" spans="1:37" ht="18" customHeight="1">
      <c r="A6" s="1289" t="s">
        <v>1032</v>
      </c>
      <c r="B6" s="3193" t="s">
        <v>1398</v>
      </c>
      <c r="C6" s="1294">
        <f ca="1">ROUND(F6*F8*F7*(1-F9)/10000,0)</f>
        <v>14</v>
      </c>
      <c r="D6" s="164" t="s">
        <v>3018</v>
      </c>
      <c r="E6" s="347" t="s">
        <v>1400</v>
      </c>
      <c r="F6" s="348">
        <f ca="1">INDIRECT("'数据-取费表'!u"&amp;$G$1)</f>
        <v>5.4</v>
      </c>
      <c r="G6" s="1849"/>
      <c r="H6" s="1289" t="s">
        <v>1032</v>
      </c>
      <c r="I6" s="3193" t="s">
        <v>1398</v>
      </c>
      <c r="J6" s="346">
        <f ca="1">ROUND(M6*M8*M7*(1-M9)/10000,0)</f>
        <v>0</v>
      </c>
      <c r="K6" s="164" t="s">
        <v>3017</v>
      </c>
      <c r="L6" s="347" t="s">
        <v>1400</v>
      </c>
      <c r="M6" s="348">
        <f ca="1">INDIRECT("'数据-取费表'!z"&amp;$G$1)</f>
        <v>0</v>
      </c>
    </row>
    <row r="7" spans="1:37" ht="18" customHeight="1">
      <c r="A7" s="1293"/>
      <c r="B7" s="3194"/>
      <c r="C7" s="1295"/>
      <c r="D7" s="352"/>
      <c r="E7" s="1296" t="s">
        <v>1401</v>
      </c>
      <c r="F7" s="348">
        <f ca="1">IF(INDIRECT("'数据-取费表'!ah"&amp;$G$1)="",INDIRECT("'数据-取费表'!k"&amp;$G$1),INDIRECT("'数据-取费表'!ah"&amp;$G$1))</f>
        <v>78.53</v>
      </c>
      <c r="G7" s="1849"/>
      <c r="H7" s="349"/>
      <c r="I7" s="3194"/>
      <c r="J7" s="351"/>
      <c r="K7" s="352"/>
      <c r="L7" s="347" t="s">
        <v>1401</v>
      </c>
      <c r="M7" s="348">
        <f ca="1">F7</f>
        <v>78.53</v>
      </c>
    </row>
    <row r="8" spans="1:37" ht="18" customHeight="1">
      <c r="A8" s="349"/>
      <c r="B8" s="3194"/>
      <c r="C8" s="351"/>
      <c r="D8" s="352"/>
      <c r="E8" s="347" t="s">
        <v>1402</v>
      </c>
      <c r="F8" s="348">
        <f ca="1">INDIRECT("'数据-取费表'!ai"&amp;$G$1)</f>
        <v>365</v>
      </c>
      <c r="G8" s="1849"/>
      <c r="H8" s="349"/>
      <c r="I8" s="3194"/>
      <c r="J8" s="351"/>
      <c r="K8" s="352"/>
      <c r="L8" s="347" t="s">
        <v>1402</v>
      </c>
      <c r="M8" s="348">
        <f ca="1">INDIRECT("'数据-取费表'!ai"&amp;$G$1)</f>
        <v>365</v>
      </c>
    </row>
    <row r="9" spans="1:37" ht="18" customHeight="1">
      <c r="A9" s="349"/>
      <c r="B9" s="3195"/>
      <c r="C9" s="351"/>
      <c r="D9" s="352"/>
      <c r="E9" s="347" t="s">
        <v>1403</v>
      </c>
      <c r="F9" s="357">
        <f ca="1">INDIRECT("'数据-取费表'!w"&amp;$G$1)</f>
        <v>0.1</v>
      </c>
      <c r="G9" s="1849"/>
      <c r="H9" s="349"/>
      <c r="I9" s="3195"/>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3089</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32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24</v>
      </c>
      <c r="D14" s="1798" t="s">
        <v>1413</v>
      </c>
      <c r="E14" s="1792"/>
      <c r="F14" s="364"/>
      <c r="G14" s="1849"/>
      <c r="H14" s="1200" t="s">
        <v>1032</v>
      </c>
      <c r="I14" s="347" t="s">
        <v>1414</v>
      </c>
      <c r="J14" s="24">
        <f ca="1">C29</f>
        <v>36</v>
      </c>
      <c r="K14" s="15"/>
      <c r="L14" s="978"/>
      <c r="M14" s="979"/>
    </row>
    <row r="15" spans="1:37" s="1856" customFormat="1" ht="18" customHeight="1" thickBot="1">
      <c r="A15" s="1200" t="s">
        <v>1033</v>
      </c>
      <c r="B15" s="347" t="s">
        <v>1415</v>
      </c>
      <c r="C15" s="24">
        <f ca="1">ROUND(C14*F15,0)</f>
        <v>1</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v>
      </c>
      <c r="K16" s="1335" t="s">
        <v>1420</v>
      </c>
      <c r="L16" s="1336"/>
      <c r="M16" s="1292"/>
    </row>
    <row r="17" spans="1:37" s="1856" customFormat="1" ht="18" customHeight="1">
      <c r="A17" s="1200" t="s">
        <v>1385</v>
      </c>
      <c r="B17" s="347" t="s">
        <v>1421</v>
      </c>
      <c r="C17" s="24">
        <f ca="1">ROUND(F17*(F43+INDIRECT("'数据-取费表'!S"&amp;$G$1))/10000,0)</f>
        <v>2</v>
      </c>
      <c r="D17" s="347" t="s">
        <v>1422</v>
      </c>
      <c r="E17" s="347" t="s">
        <v>1423</v>
      </c>
      <c r="F17" s="26">
        <f>'数据-取费表'!B35</f>
        <v>200</v>
      </c>
      <c r="G17" s="1852"/>
      <c r="H17" s="1200" t="s">
        <v>1032</v>
      </c>
      <c r="I17" s="347" t="s">
        <v>1424</v>
      </c>
      <c r="J17" s="24">
        <f ca="1">ROUND(IF(项目基本情况!B11="自然人",J6*M17/(1+'数据-取费表'!C42),J18+J19+J20),1)</f>
        <v>0.3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27</v>
      </c>
      <c r="D19" s="140" t="s">
        <v>1431</v>
      </c>
      <c r="E19" s="1816"/>
      <c r="F19" s="26"/>
      <c r="G19" s="1849"/>
      <c r="H19" s="1200" t="s">
        <v>1033</v>
      </c>
      <c r="I19" s="347" t="s">
        <v>1432</v>
      </c>
      <c r="J19" s="24">
        <f ca="1">IF(K19="按租金收入计税",ROUND(J6*M19/(1+'数据-取费表'!C42),2),ROUND(C29*M19*0.7,2))</f>
        <v>0.3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0.5</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-1</v>
      </c>
      <c r="K25" s="1343" t="s">
        <v>1459</v>
      </c>
      <c r="L25" s="1344"/>
      <c r="M25" s="1345"/>
    </row>
    <row r="26" spans="1:37">
      <c r="A26" s="1200" t="s">
        <v>1031</v>
      </c>
      <c r="B26" s="347" t="s">
        <v>1460</v>
      </c>
      <c r="C26" s="24">
        <f ca="1">ROUND((C19+C20)*F26,0)</f>
        <v>4</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36</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2.4</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0.75</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1.6</v>
      </c>
      <c r="D33" s="1826" t="s">
        <v>3090</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0.5</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0.1</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300</v>
      </c>
      <c r="D40" s="370" t="s">
        <v>1464</v>
      </c>
      <c r="E40" s="347" t="s">
        <v>1465</v>
      </c>
      <c r="F40" s="35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38202</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-369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3091</v>
      </c>
      <c r="K47" s="1880" t="s">
        <v>1522</v>
      </c>
      <c r="L47" s="1881">
        <f ca="1">INDIRECT("'数据-取费表'!d"&amp;$G$1)</f>
        <v>50</v>
      </c>
      <c r="M47" s="1836" t="str">
        <f>IF(ISNUMBER(FIND("住宅",C1)),"住宅","非住宅")</f>
        <v>非住宅</v>
      </c>
      <c r="O47" s="1882" t="s">
        <v>1037</v>
      </c>
      <c r="P47" s="1883" t="s">
        <v>1523</v>
      </c>
      <c r="Q47" s="1884">
        <f ca="1">C40+J29</f>
        <v>300</v>
      </c>
      <c r="R47" s="1884" t="s">
        <v>1524</v>
      </c>
    </row>
    <row r="48" spans="1:18" s="1840" customFormat="1" ht="28.5" thickBot="1">
      <c r="A48" s="1358" t="s">
        <v>1132</v>
      </c>
      <c r="B48" s="345" t="s">
        <v>1396</v>
      </c>
      <c r="C48" s="1815">
        <f ca="1">C49+C53+C55</f>
        <v>0</v>
      </c>
      <c r="D48" s="1360"/>
      <c r="E48" s="1361"/>
      <c r="F48" s="1180"/>
      <c r="G48" s="791"/>
      <c r="H48" s="792"/>
      <c r="I48" s="1885" t="s">
        <v>1525</v>
      </c>
      <c r="J48" s="1886" t="s">
        <v>3092</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36</v>
      </c>
      <c r="R49" s="1884" t="s">
        <v>1524</v>
      </c>
    </row>
    <row r="50" spans="1:18" s="1840" customFormat="1" ht="13.5" thickBot="1">
      <c r="A50" s="1194"/>
      <c r="B50" s="1197"/>
      <c r="C50" s="1366"/>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157</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41</v>
      </c>
      <c r="R52" s="1884" t="s">
        <v>1541</v>
      </c>
    </row>
    <row r="53" spans="1:18" s="1840" customFormat="1" ht="24.75"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v>
      </c>
      <c r="K53" s="3191" t="s">
        <v>1543</v>
      </c>
      <c r="L53" s="3192"/>
      <c r="O53" s="1882" t="s">
        <v>1043</v>
      </c>
      <c r="P53" s="1883" t="s">
        <v>1544</v>
      </c>
      <c r="Q53" s="1884">
        <f ca="1">Q47+Q48</f>
        <v>300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32</v>
      </c>
      <c r="D56" s="1911"/>
      <c r="E56" s="1912"/>
      <c r="F56" s="1904"/>
      <c r="I56" s="1913" t="s">
        <v>1549</v>
      </c>
      <c r="J56" s="1914" t="s">
        <v>3067</v>
      </c>
      <c r="K56" s="1885" t="s">
        <v>1550</v>
      </c>
      <c r="L56" s="1888" t="str">
        <f ca="1">IF(L48&lt;J51,"——",L48-J53)</f>
        <v>——</v>
      </c>
      <c r="O56" s="1882" t="s">
        <v>1037</v>
      </c>
      <c r="P56" s="1883" t="s">
        <v>1523</v>
      </c>
      <c r="Q56" s="1884">
        <f ca="1">C40+J29</f>
        <v>300</v>
      </c>
      <c r="R56" s="1884" t="s">
        <v>1524</v>
      </c>
    </row>
    <row r="57" spans="1:18" s="1840" customFormat="1" ht="24.75" thickBot="1">
      <c r="A57" s="1915"/>
      <c r="B57" s="1168" t="s">
        <v>1473</v>
      </c>
      <c r="C57" s="282">
        <f ca="1">C29</f>
        <v>36</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3.02</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300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0.5</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1.5E-3</v>
      </c>
      <c r="I65" s="1926" t="s">
        <v>1574</v>
      </c>
      <c r="J65" s="1927">
        <v>40</v>
      </c>
      <c r="K65" s="1927">
        <v>30</v>
      </c>
      <c r="L65" s="1927">
        <v>50</v>
      </c>
      <c r="M65" s="1929">
        <v>0.02</v>
      </c>
      <c r="O65" s="1882" t="s">
        <v>1037</v>
      </c>
      <c r="P65" s="1883" t="s">
        <v>1575</v>
      </c>
      <c r="Q65" s="1884">
        <f ca="1">C40+J29</f>
        <v>300</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v>
      </c>
      <c r="D67" s="1181" t="s">
        <v>1459</v>
      </c>
      <c r="E67" s="1186"/>
      <c r="F67" s="1187"/>
      <c r="O67" s="1892" t="s">
        <v>1039</v>
      </c>
      <c r="P67" s="1883" t="s">
        <v>1557</v>
      </c>
      <c r="Q67" s="1930">
        <f ca="1">L51</f>
        <v>157</v>
      </c>
      <c r="R67" s="1884" t="s">
        <v>1577</v>
      </c>
    </row>
    <row r="68" spans="1:18" s="1840" customFormat="1" ht="16.5" thickBot="1">
      <c r="A68" s="1165" t="s">
        <v>1029</v>
      </c>
      <c r="B68" s="1166" t="s">
        <v>1480</v>
      </c>
      <c r="C68" s="346">
        <f ca="1">ROUND(C67*(1-((1+F70)/(1+F68))^F69)/(F68-F70),0)</f>
        <v>-69</v>
      </c>
      <c r="D68" s="1183" t="s">
        <v>1464</v>
      </c>
      <c r="E68" s="1168" t="s">
        <v>1465</v>
      </c>
      <c r="F68" s="357">
        <f ca="1">F40</f>
        <v>0.05</v>
      </c>
      <c r="O68" s="1892" t="s">
        <v>1040</v>
      </c>
      <c r="P68" s="1931" t="s">
        <v>1578</v>
      </c>
      <c r="Q68" s="1884">
        <f ca="1">ROUND(Q69-Q70*Q71,0)</f>
        <v>8</v>
      </c>
      <c r="R68" s="1884" t="s">
        <v>1048</v>
      </c>
    </row>
    <row r="69" spans="1:18" s="1840" customFormat="1" ht="13.5" thickBot="1">
      <c r="A69" s="1169"/>
      <c r="B69" s="1170"/>
      <c r="C69" s="351"/>
      <c r="D69" s="1188" t="s">
        <v>1468</v>
      </c>
      <c r="E69" s="1168" t="s">
        <v>1469</v>
      </c>
      <c r="F69" s="379">
        <f ca="1">F41</f>
        <v>41</v>
      </c>
      <c r="O69" s="1892" t="s">
        <v>1045</v>
      </c>
      <c r="P69" s="1931" t="s">
        <v>1579</v>
      </c>
      <c r="Q69" s="1884">
        <f ca="1">C39</f>
        <v>11</v>
      </c>
      <c r="R69" s="1884" t="s">
        <v>1524</v>
      </c>
    </row>
    <row r="70" spans="1:18" s="1840" customFormat="1" ht="13.5" thickBot="1">
      <c r="A70" s="1172"/>
      <c r="B70" s="1173"/>
      <c r="C70" s="355"/>
      <c r="D70" s="1184"/>
      <c r="E70" s="1168" t="s">
        <v>1472</v>
      </c>
      <c r="F70" s="1273"/>
      <c r="O70" s="1892" t="s">
        <v>1046</v>
      </c>
      <c r="P70" s="1931" t="s">
        <v>1580</v>
      </c>
      <c r="Q70" s="1884">
        <f ca="1">C13</f>
        <v>32</v>
      </c>
      <c r="R70" s="1884" t="s">
        <v>1524</v>
      </c>
    </row>
    <row r="71" spans="1:18" s="1840" customFormat="1" ht="13.5" thickBot="1">
      <c r="A71" s="1189" t="s">
        <v>1030</v>
      </c>
      <c r="B71" s="1190" t="s">
        <v>1482</v>
      </c>
      <c r="C71" s="382">
        <f ca="1">ROUND(C68*10000/F71,0)</f>
        <v>-8786</v>
      </c>
      <c r="D71" s="1191" t="s">
        <v>1483</v>
      </c>
      <c r="E71" s="1192" t="s">
        <v>1484</v>
      </c>
      <c r="F71" s="385">
        <f ca="1">F43</f>
        <v>78.53</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3</v>
      </c>
      <c r="D75" s="1840"/>
      <c r="E75" s="1840"/>
      <c r="F75" s="1840"/>
      <c r="K75" s="1866"/>
      <c r="L75" s="1840"/>
      <c r="O75" s="1882" t="s">
        <v>1043</v>
      </c>
      <c r="P75" s="1883" t="s">
        <v>1544</v>
      </c>
      <c r="Q75" s="1884">
        <f ca="1">Q65+Q66</f>
        <v>300</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0.72699999999999998</v>
      </c>
    </row>
    <row r="80" spans="1:18">
      <c r="B80" s="386" t="s">
        <v>1506</v>
      </c>
      <c r="C80" s="318">
        <f ca="1">ROUND(C75/C39,3)</f>
        <v>0.27300000000000002</v>
      </c>
    </row>
    <row r="81" spans="2:3">
      <c r="B81" s="314" t="s">
        <v>1507</v>
      </c>
      <c r="C81" s="282"/>
    </row>
    <row r="82" spans="2:3">
      <c r="B82" s="317" t="s">
        <v>1508</v>
      </c>
      <c r="C82" s="319">
        <f ca="1">1-C83</f>
        <v>0.89300000000000002</v>
      </c>
    </row>
    <row r="83" spans="2:3">
      <c r="B83" s="317" t="s">
        <v>1509</v>
      </c>
      <c r="C83" s="318">
        <f ca="1">ROUND(C13/C40,3)</f>
        <v>0.107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93" t="s">
        <v>1398</v>
      </c>
      <c r="C6" s="1294">
        <f ca="1">ROUND(F6*F8*F7*(1-F9),0)</f>
        <v>0</v>
      </c>
      <c r="D6" s="164" t="s">
        <v>3015</v>
      </c>
      <c r="E6" s="347" t="s">
        <v>1400</v>
      </c>
      <c r="F6" s="348">
        <f ca="1">INDIRECT("'数据-取费表'!u"&amp;$G$1)</f>
        <v>0</v>
      </c>
      <c r="G6" s="1849"/>
      <c r="H6" s="1289" t="s">
        <v>1032</v>
      </c>
      <c r="I6" s="3193" t="s">
        <v>1398</v>
      </c>
      <c r="J6" s="346">
        <f ca="1">ROUND(M6*M8*M7*(1-M9),0)</f>
        <v>0</v>
      </c>
      <c r="K6" s="1832" t="s">
        <v>3016</v>
      </c>
      <c r="L6" s="347" t="s">
        <v>1400</v>
      </c>
      <c r="M6" s="348">
        <f ca="1">INDIRECT("'数据-取费表'!z"&amp;$G$1)</f>
        <v>0</v>
      </c>
    </row>
    <row r="7" spans="1:37" ht="18" customHeight="1">
      <c r="A7" s="1293"/>
      <c r="B7" s="3194"/>
      <c r="C7" s="1295"/>
      <c r="D7" s="352"/>
      <c r="E7" s="1296" t="s">
        <v>1401</v>
      </c>
      <c r="F7" s="348">
        <f ca="1">IF(INDIRECT("'数据-取费表'!ah"&amp;$G$1)="",INDIRECT("'数据-取费表'!k"&amp;$G$1),INDIRECT("'数据-取费表'!ah"&amp;$G$1))</f>
        <v>0</v>
      </c>
      <c r="G7" s="1849"/>
      <c r="H7" s="349"/>
      <c r="I7" s="3194"/>
      <c r="J7" s="351"/>
      <c r="K7" s="352"/>
      <c r="L7" s="347" t="s">
        <v>1401</v>
      </c>
      <c r="M7" s="348">
        <f ca="1">F7</f>
        <v>0</v>
      </c>
    </row>
    <row r="8" spans="1:37" ht="18" customHeight="1">
      <c r="A8" s="349"/>
      <c r="B8" s="3194"/>
      <c r="C8" s="351"/>
      <c r="D8" s="352"/>
      <c r="E8" s="347" t="s">
        <v>1402</v>
      </c>
      <c r="F8" s="348">
        <f ca="1">INDIRECT("'数据-取费表'!ai"&amp;$G$1)</f>
        <v>0</v>
      </c>
      <c r="G8" s="1849"/>
      <c r="H8" s="349"/>
      <c r="I8" s="3194"/>
      <c r="J8" s="351"/>
      <c r="K8" s="352"/>
      <c r="L8" s="347" t="s">
        <v>1402</v>
      </c>
      <c r="M8" s="348">
        <f ca="1">INDIRECT("'数据-取费表'!ai"&amp;$G$1)</f>
        <v>0</v>
      </c>
    </row>
    <row r="9" spans="1:37" ht="18" customHeight="1">
      <c r="A9" s="349"/>
      <c r="B9" s="3195"/>
      <c r="C9" s="351"/>
      <c r="D9" s="352"/>
      <c r="E9" s="347" t="s">
        <v>1403</v>
      </c>
      <c r="F9" s="357">
        <f ca="1">INDIRECT("'数据-取费表'!w"&amp;$G$1)</f>
        <v>0</v>
      </c>
      <c r="G9" s="1849"/>
      <c r="H9" s="349"/>
      <c r="I9" s="3195"/>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3026</v>
      </c>
      <c r="E10" s="358" t="s">
        <v>1405</v>
      </c>
      <c r="F10" s="1364"/>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0</v>
      </c>
      <c r="K53" s="3191" t="s">
        <v>1543</v>
      </c>
      <c r="L53" s="3192"/>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3">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2516</v>
      </c>
      <c r="B1" s="2558"/>
      <c r="C1" s="2558"/>
      <c r="D1" s="2558"/>
      <c r="E1" s="2559"/>
    </row>
    <row r="2" spans="1:6" ht="15.75">
      <c r="A2" s="2560" t="s">
        <v>2317</v>
      </c>
      <c r="B2" s="2561">
        <f ca="1">SUMIF(B6:B13,"&lt;&gt;#ref!",B6:B13)</f>
        <v>300</v>
      </c>
      <c r="C2" s="2562" t="s">
        <v>2509</v>
      </c>
      <c r="D2" s="2563" t="s">
        <v>2510</v>
      </c>
      <c r="E2" s="2564">
        <f>SUM(E6:E13)</f>
        <v>78.53</v>
      </c>
    </row>
    <row r="3" spans="1:6" ht="15.75">
      <c r="A3" s="2560" t="s">
        <v>1390</v>
      </c>
      <c r="B3" s="2561">
        <f ca="1">ROUND(B2*10000/E2,0)</f>
        <v>38202</v>
      </c>
      <c r="C3" s="2562" t="s">
        <v>2517</v>
      </c>
      <c r="D3" s="2565"/>
      <c r="E3" s="2566"/>
    </row>
    <row r="4" spans="1:6" ht="15.75">
      <c r="A4" s="2567"/>
      <c r="B4" s="2565"/>
      <c r="C4" s="2565"/>
      <c r="D4" s="2565"/>
      <c r="E4" s="2566"/>
    </row>
    <row r="5" spans="1:6" ht="15">
      <c r="A5" s="2568" t="s">
        <v>2511</v>
      </c>
      <c r="B5" s="3196" t="s">
        <v>2512</v>
      </c>
      <c r="C5" s="3196"/>
      <c r="D5" s="2569"/>
      <c r="E5" s="2570" t="s">
        <v>2513</v>
      </c>
      <c r="F5" s="2571" t="s">
        <v>2514</v>
      </c>
    </row>
    <row r="6" spans="1:6">
      <c r="A6" s="2572" t="str">
        <f>'数据-取费表'!AN6</f>
        <v>收益法</v>
      </c>
      <c r="B6" s="2571">
        <f ca="1">IF(F6="是",'数据-取费表'!AO6,0)</f>
        <v>300</v>
      </c>
      <c r="C6" s="2562" t="s">
        <v>2509</v>
      </c>
      <c r="D6" s="2565"/>
      <c r="E6" s="2573">
        <f>IF(OR(A6=0,F6="否"),0,'数据-取费表'!K6+'数据-取费表'!S6)</f>
        <v>78.53</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03" t="s">
        <v>1074</v>
      </c>
      <c r="B2" s="3204" t="s">
        <v>1075</v>
      </c>
      <c r="C2" s="3204"/>
      <c r="D2" s="1299" t="s">
        <v>1076</v>
      </c>
      <c r="E2" s="1299" t="s">
        <v>1077</v>
      </c>
      <c r="F2" s="1299" t="s">
        <v>1078</v>
      </c>
      <c r="G2" s="1299" t="s">
        <v>1079</v>
      </c>
      <c r="H2" s="1299" t="s">
        <v>1080</v>
      </c>
      <c r="I2" s="1300" t="s">
        <v>1081</v>
      </c>
    </row>
    <row r="3" spans="1:9">
      <c r="A3" s="3203"/>
      <c r="B3" s="3204" t="s">
        <v>1082</v>
      </c>
      <c r="C3" s="3204"/>
      <c r="D3" s="1301"/>
      <c r="E3" s="1299"/>
      <c r="F3" s="1302"/>
      <c r="G3" s="1302"/>
      <c r="H3" s="1303"/>
      <c r="I3" s="1304">
        <f>ROUND(D3*E3*F3*G3*H3/10000,0)</f>
        <v>0</v>
      </c>
    </row>
    <row r="4" spans="1:9">
      <c r="A4" s="3203"/>
      <c r="B4" s="3204" t="s">
        <v>1083</v>
      </c>
      <c r="C4" s="3204"/>
      <c r="D4" s="1301"/>
      <c r="E4" s="1299"/>
      <c r="F4" s="1302"/>
      <c r="G4" s="1302"/>
      <c r="H4" s="1303"/>
      <c r="I4" s="1304">
        <f t="shared" ref="I4:I9" si="0">ROUND(D4*E4*F4*G4*H4/10000,0)</f>
        <v>0</v>
      </c>
    </row>
    <row r="5" spans="1:9">
      <c r="A5" s="3203"/>
      <c r="B5" s="3204" t="s">
        <v>1084</v>
      </c>
      <c r="C5" s="3204"/>
      <c r="D5" s="1301"/>
      <c r="E5" s="1299"/>
      <c r="F5" s="1302"/>
      <c r="G5" s="1302"/>
      <c r="H5" s="1303"/>
      <c r="I5" s="1304">
        <f t="shared" si="0"/>
        <v>0</v>
      </c>
    </row>
    <row r="6" spans="1:9">
      <c r="A6" s="3203"/>
      <c r="B6" s="3204" t="s">
        <v>1085</v>
      </c>
      <c r="C6" s="3204"/>
      <c r="D6" s="1301"/>
      <c r="E6" s="1299"/>
      <c r="F6" s="1302"/>
      <c r="G6" s="1302"/>
      <c r="H6" s="1303"/>
      <c r="I6" s="1304">
        <f t="shared" si="0"/>
        <v>0</v>
      </c>
    </row>
    <row r="7" spans="1:9">
      <c r="A7" s="3203"/>
      <c r="B7" s="3204" t="s">
        <v>1086</v>
      </c>
      <c r="C7" s="3204"/>
      <c r="D7" s="1301"/>
      <c r="E7" s="1299"/>
      <c r="F7" s="1302"/>
      <c r="G7" s="1302"/>
      <c r="H7" s="1303"/>
      <c r="I7" s="1304">
        <f t="shared" si="0"/>
        <v>0</v>
      </c>
    </row>
    <row r="8" spans="1:9">
      <c r="A8" s="3203"/>
      <c r="B8" s="3204" t="s">
        <v>1087</v>
      </c>
      <c r="C8" s="3204"/>
      <c r="D8" s="1301"/>
      <c r="E8" s="1299"/>
      <c r="F8" s="1302"/>
      <c r="G8" s="1302"/>
      <c r="H8" s="1303"/>
      <c r="I8" s="1304">
        <f t="shared" si="0"/>
        <v>0</v>
      </c>
    </row>
    <row r="9" spans="1:9">
      <c r="A9" s="3203"/>
      <c r="B9" s="3204" t="s">
        <v>1088</v>
      </c>
      <c r="C9" s="3204"/>
      <c r="D9" s="1301"/>
      <c r="E9" s="1299"/>
      <c r="F9" s="1302"/>
      <c r="G9" s="1302"/>
      <c r="H9" s="1303"/>
      <c r="I9" s="1304">
        <f t="shared" si="0"/>
        <v>0</v>
      </c>
    </row>
    <row r="10" spans="1:9">
      <c r="A10" s="3203"/>
      <c r="B10" s="3205" t="s">
        <v>1089</v>
      </c>
      <c r="C10" s="3205"/>
      <c r="D10" s="1305"/>
      <c r="E10" s="1305" t="e">
        <f>ROUND(D1*10000/D10/H9,0)</f>
        <v>#DIV/0!</v>
      </c>
      <c r="F10" s="1306"/>
      <c r="G10" s="1306"/>
      <c r="H10" s="1307"/>
      <c r="I10" s="1308">
        <f>SUM(I3:I9)</f>
        <v>0</v>
      </c>
    </row>
    <row r="11" spans="1:9" ht="14.25">
      <c r="A11" s="3203" t="s">
        <v>1090</v>
      </c>
      <c r="B11" s="3204" t="s">
        <v>1091</v>
      </c>
      <c r="C11" s="3204"/>
      <c r="D11" s="1301" t="s">
        <v>1092</v>
      </c>
      <c r="E11" s="1301" t="s">
        <v>1093</v>
      </c>
      <c r="F11" s="1302" t="s">
        <v>1094</v>
      </c>
      <c r="G11" s="1302" t="s">
        <v>1080</v>
      </c>
      <c r="H11" s="1309" t="s">
        <v>1095</v>
      </c>
      <c r="I11" s="1300" t="s">
        <v>1081</v>
      </c>
    </row>
    <row r="12" spans="1:9">
      <c r="A12" s="3203"/>
      <c r="B12" s="3204" t="s">
        <v>1096</v>
      </c>
      <c r="C12" s="3204"/>
      <c r="D12" s="1301"/>
      <c r="E12" s="1301"/>
      <c r="F12" s="1302"/>
      <c r="G12" s="1303"/>
      <c r="H12" s="1310"/>
      <c r="I12" s="1300">
        <f>ROUND(D12*E12*F12*G12/10000,0)</f>
        <v>0</v>
      </c>
    </row>
    <row r="13" spans="1:9">
      <c r="A13" s="3203"/>
      <c r="B13" s="3204" t="s">
        <v>1097</v>
      </c>
      <c r="C13" s="3204"/>
      <c r="D13" s="1301"/>
      <c r="E13" s="1301"/>
      <c r="F13" s="1302"/>
      <c r="G13" s="1303"/>
      <c r="H13" s="1310"/>
      <c r="I13" s="1300">
        <f>ROUND(D13*E13*F13*G13/10000,0)</f>
        <v>0</v>
      </c>
    </row>
    <row r="14" spans="1:9">
      <c r="A14" s="3203"/>
      <c r="B14" s="3204" t="s">
        <v>1098</v>
      </c>
      <c r="C14" s="3204"/>
      <c r="D14" s="1301"/>
      <c r="E14" s="1301"/>
      <c r="F14" s="1302"/>
      <c r="G14" s="1303"/>
      <c r="H14" s="1310"/>
      <c r="I14" s="1300">
        <f>ROUND(D14*E14*F14*G14/10000,0)</f>
        <v>0</v>
      </c>
    </row>
    <row r="15" spans="1:9">
      <c r="A15" s="3203"/>
      <c r="B15" s="3205" t="s">
        <v>1089</v>
      </c>
      <c r="C15" s="3205"/>
      <c r="D15" s="1305"/>
      <c r="E15" s="1305">
        <f>SUM(E12:E14)</f>
        <v>0</v>
      </c>
      <c r="F15" s="1306"/>
      <c r="G15" s="1303"/>
      <c r="H15" s="1310"/>
      <c r="I15" s="1311">
        <f>SUM(I12:I14)</f>
        <v>0</v>
      </c>
    </row>
    <row r="16" spans="1:9" ht="24">
      <c r="A16" s="3203" t="s">
        <v>1099</v>
      </c>
      <c r="B16" s="3204" t="s">
        <v>1100</v>
      </c>
      <c r="C16" s="3204"/>
      <c r="D16" s="1301" t="s">
        <v>1076</v>
      </c>
      <c r="E16" s="1312" t="s">
        <v>1101</v>
      </c>
      <c r="F16" s="1302" t="s">
        <v>1102</v>
      </c>
      <c r="G16" s="1303" t="s">
        <v>1080</v>
      </c>
      <c r="H16" s="1309" t="s">
        <v>1095</v>
      </c>
      <c r="I16" s="1300" t="s">
        <v>1081</v>
      </c>
    </row>
    <row r="17" spans="1:9" ht="14.25">
      <c r="A17" s="3203"/>
      <c r="B17" s="3204" t="s">
        <v>1103</v>
      </c>
      <c r="C17" s="3204"/>
      <c r="D17" s="1301"/>
      <c r="E17" s="1301"/>
      <c r="F17" s="1302"/>
      <c r="G17" s="1303"/>
      <c r="H17" s="1313"/>
      <c r="I17" s="1314">
        <f>ROUND(D17*E17*F17*G17/10000,0)</f>
        <v>0</v>
      </c>
    </row>
    <row r="18" spans="1:9" ht="14.25">
      <c r="A18" s="3203"/>
      <c r="B18" s="3204" t="s">
        <v>1104</v>
      </c>
      <c r="C18" s="3204"/>
      <c r="D18" s="1301"/>
      <c r="E18" s="1301"/>
      <c r="F18" s="1302"/>
      <c r="G18" s="1303"/>
      <c r="H18" s="1313"/>
      <c r="I18" s="1314">
        <f>ROUND(D18*E18*F18*G18/10000,0)</f>
        <v>0</v>
      </c>
    </row>
    <row r="19" spans="1:9" ht="14.25">
      <c r="A19" s="3203"/>
      <c r="B19" s="3204" t="s">
        <v>1105</v>
      </c>
      <c r="C19" s="3204"/>
      <c r="D19" s="1301"/>
      <c r="E19" s="1301"/>
      <c r="F19" s="1302"/>
      <c r="G19" s="1303"/>
      <c r="H19" s="1313"/>
      <c r="I19" s="1314">
        <f>ROUND(D19*E19*F19*G19/10000,0)</f>
        <v>0</v>
      </c>
    </row>
    <row r="20" spans="1:9">
      <c r="A20" s="3203"/>
      <c r="B20" s="3205" t="s">
        <v>1089</v>
      </c>
      <c r="C20" s="3205"/>
      <c r="D20" s="1305">
        <f>SUM(D17:D19)</f>
        <v>0</v>
      </c>
      <c r="E20" s="1305"/>
      <c r="F20" s="1306"/>
      <c r="G20" s="1303"/>
      <c r="H20" s="1310"/>
      <c r="I20" s="1311">
        <f>SUM(I17:I19)</f>
        <v>0</v>
      </c>
    </row>
    <row r="21" spans="1:9">
      <c r="A21" s="3203" t="s">
        <v>1106</v>
      </c>
      <c r="B21" s="3206"/>
      <c r="C21" s="3206"/>
      <c r="D21" s="3206"/>
      <c r="E21" s="3206"/>
      <c r="F21" s="3206"/>
      <c r="G21" s="3206"/>
      <c r="H21" s="1763">
        <v>0.1</v>
      </c>
      <c r="I21" s="1308">
        <f>ROUND(I10*H21,0)</f>
        <v>0</v>
      </c>
    </row>
    <row r="22" spans="1:9" ht="14.25">
      <c r="A22" s="3207" t="s">
        <v>1107</v>
      </c>
      <c r="B22" s="3208"/>
      <c r="C22" s="3209"/>
      <c r="D22" s="1315" t="s">
        <v>1108</v>
      </c>
      <c r="E22" s="1315" t="s">
        <v>1109</v>
      </c>
      <c r="F22" s="1316" t="s">
        <v>1110</v>
      </c>
      <c r="G22" s="1316" t="s">
        <v>1111</v>
      </c>
      <c r="H22" s="1309" t="s">
        <v>1112</v>
      </c>
      <c r="I22" s="1300" t="s">
        <v>1113</v>
      </c>
    </row>
    <row r="23" spans="1:9" ht="14.25" thickBot="1">
      <c r="A23" s="3210"/>
      <c r="B23" s="3211"/>
      <c r="C23" s="3212"/>
      <c r="D23" s="1317"/>
      <c r="E23" s="1317"/>
      <c r="F23" s="1317"/>
      <c r="G23" s="1318"/>
      <c r="H23" s="1319"/>
      <c r="I23" s="1320">
        <f>ROUND(E23*D23*F23*(1-G23)/10000,0)</f>
        <v>0</v>
      </c>
    </row>
    <row r="26" spans="1:9">
      <c r="A26" s="1321" t="s">
        <v>1114</v>
      </c>
      <c r="B26" s="1321"/>
      <c r="C26" s="1321"/>
      <c r="D26" s="1321"/>
      <c r="E26" s="3200">
        <f>C27-C30-C31-C32</f>
        <v>0</v>
      </c>
      <c r="F26" s="3200"/>
      <c r="G26" s="3200"/>
      <c r="H26" s="1735" t="s">
        <v>1336</v>
      </c>
    </row>
    <row r="27" spans="1:9">
      <c r="A27" s="1322">
        <v>1</v>
      </c>
      <c r="B27" s="1323" t="s">
        <v>1115</v>
      </c>
      <c r="C27" s="1323">
        <f>C28+C29</f>
        <v>0</v>
      </c>
      <c r="D27" s="1323"/>
      <c r="E27" s="3201"/>
      <c r="F27" s="3201"/>
      <c r="G27" s="3201"/>
    </row>
    <row r="28" spans="1:9">
      <c r="A28" s="1324" t="s">
        <v>1116</v>
      </c>
      <c r="B28" s="1323" t="s">
        <v>1117</v>
      </c>
      <c r="C28" s="1323"/>
      <c r="D28" s="1323"/>
      <c r="E28" s="3201"/>
      <c r="F28" s="3201"/>
      <c r="G28" s="320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2"/>
      <c r="F32" s="3202"/>
      <c r="G32" s="3202"/>
    </row>
    <row r="33" spans="1:7" hidden="1">
      <c r="A33" s="3197" t="s">
        <v>1126</v>
      </c>
      <c r="B33" s="3198"/>
      <c r="C33" s="3198"/>
      <c r="D33" s="3199"/>
      <c r="E33" s="3200"/>
      <c r="F33" s="3200"/>
      <c r="G33" s="3200"/>
    </row>
    <row r="34" spans="1:7" hidden="1">
      <c r="A34" s="1326">
        <v>1</v>
      </c>
      <c r="B34" s="1323" t="s">
        <v>1127</v>
      </c>
      <c r="C34" s="1323"/>
      <c r="D34" s="1323"/>
      <c r="E34" s="3201"/>
      <c r="F34" s="3201"/>
      <c r="G34" s="3201"/>
    </row>
    <row r="35" spans="1:7" hidden="1">
      <c r="A35" s="1326">
        <v>2</v>
      </c>
      <c r="B35" s="1323" t="s">
        <v>1128</v>
      </c>
      <c r="C35" s="1323"/>
      <c r="D35" s="1323"/>
      <c r="E35" s="3201"/>
      <c r="F35" s="3201"/>
      <c r="G35" s="3201"/>
    </row>
    <row r="36" spans="1:7" hidden="1">
      <c r="A36" s="1326">
        <v>3</v>
      </c>
      <c r="B36" s="1323" t="s">
        <v>1129</v>
      </c>
      <c r="C36" s="1323"/>
      <c r="D36" s="1323"/>
      <c r="E36" s="3201"/>
      <c r="F36" s="3201"/>
      <c r="G36" s="3201"/>
    </row>
    <row r="37" spans="1:7" hidden="1">
      <c r="A37" s="1326">
        <v>4</v>
      </c>
      <c r="B37" s="1323" t="s">
        <v>1130</v>
      </c>
      <c r="C37" s="1323"/>
      <c r="D37" s="1323"/>
      <c r="E37" s="3201"/>
      <c r="F37" s="3201"/>
      <c r="G37" s="3201"/>
    </row>
    <row r="38" spans="1:7" hidden="1">
      <c r="A38" s="3197" t="s">
        <v>1131</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435.22</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1" t="s">
        <v>2525</v>
      </c>
      <c r="B4" s="402"/>
      <c r="C4" s="3236" t="s">
        <v>2526</v>
      </c>
      <c r="D4" s="3237"/>
      <c r="E4" s="3238" t="s">
        <v>2527</v>
      </c>
      <c r="F4" s="3239"/>
      <c r="G4" s="3236" t="s">
        <v>2528</v>
      </c>
      <c r="H4" s="3237"/>
      <c r="I4" s="3236" t="s">
        <v>2529</v>
      </c>
      <c r="J4" s="3237"/>
      <c r="K4" s="2592" t="s">
        <v>2530</v>
      </c>
      <c r="L4" s="1129"/>
      <c r="M4" s="1130"/>
      <c r="N4" s="1130"/>
      <c r="O4" s="1130"/>
      <c r="P4" s="3240" t="s">
        <v>2531</v>
      </c>
      <c r="Q4" s="3241"/>
      <c r="R4" s="3246" t="s">
        <v>2527</v>
      </c>
      <c r="S4" s="3247"/>
      <c r="T4" s="3246" t="s">
        <v>2528</v>
      </c>
      <c r="U4" s="3247"/>
      <c r="V4" s="3252" t="s">
        <v>2529</v>
      </c>
      <c r="W4" s="3252"/>
      <c r="X4" s="1811"/>
      <c r="Y4" s="3246" t="s">
        <v>2531</v>
      </c>
      <c r="Z4" s="3247"/>
      <c r="AA4" s="3233" t="s">
        <v>2527</v>
      </c>
      <c r="AB4" s="3233" t="s">
        <v>2528</v>
      </c>
      <c r="AC4" s="3233" t="s">
        <v>2529</v>
      </c>
    </row>
    <row r="5" spans="1:29" ht="15">
      <c r="A5" s="404"/>
      <c r="B5" s="405"/>
      <c r="C5" s="3255" t="s">
        <v>2532</v>
      </c>
      <c r="D5" s="3256"/>
      <c r="E5" s="3262" t="s">
        <v>2533</v>
      </c>
      <c r="F5" s="3263"/>
      <c r="G5" s="3255" t="s">
        <v>2534</v>
      </c>
      <c r="H5" s="3256"/>
      <c r="I5" s="3255" t="s">
        <v>2535</v>
      </c>
      <c r="J5" s="3256"/>
      <c r="K5" s="2593"/>
      <c r="L5" s="1129"/>
      <c r="M5" s="1130"/>
      <c r="N5" s="1130"/>
      <c r="O5" s="1130"/>
      <c r="P5" s="3242"/>
      <c r="Q5" s="3243"/>
      <c r="R5" s="3248"/>
      <c r="S5" s="3249"/>
      <c r="T5" s="3248"/>
      <c r="U5" s="3249"/>
      <c r="V5" s="3252"/>
      <c r="W5" s="3252"/>
      <c r="X5" s="1811"/>
      <c r="Y5" s="3248"/>
      <c r="Z5" s="3249"/>
      <c r="AA5" s="3234"/>
      <c r="AB5" s="3234"/>
      <c r="AC5" s="3234"/>
    </row>
    <row r="6" spans="1:29" ht="15.75" thickBot="1">
      <c r="A6" s="406"/>
      <c r="B6" s="407"/>
      <c r="C6" s="3253" t="s">
        <v>2536</v>
      </c>
      <c r="D6" s="3254"/>
      <c r="E6" s="3260" t="s">
        <v>2536</v>
      </c>
      <c r="F6" s="3261"/>
      <c r="G6" s="3253" t="s">
        <v>2536</v>
      </c>
      <c r="H6" s="3254"/>
      <c r="I6" s="3253" t="s">
        <v>2536</v>
      </c>
      <c r="J6" s="3254"/>
      <c r="K6" s="2593" t="s">
        <v>2537</v>
      </c>
      <c r="L6" s="1129"/>
      <c r="M6" s="1130"/>
      <c r="N6" s="1130"/>
      <c r="O6" s="1130"/>
      <c r="P6" s="3244"/>
      <c r="Q6" s="3245"/>
      <c r="R6" s="3248"/>
      <c r="S6" s="3249"/>
      <c r="T6" s="3250"/>
      <c r="U6" s="3251"/>
      <c r="V6" s="3252"/>
      <c r="W6" s="3252"/>
      <c r="X6" s="1811"/>
      <c r="Y6" s="3250"/>
      <c r="Z6" s="3251"/>
      <c r="AA6" s="3235"/>
      <c r="AB6" s="3235"/>
      <c r="AC6" s="3235"/>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57" t="s">
        <v>2539</v>
      </c>
      <c r="Q7" s="3259"/>
      <c r="R7" s="769" t="s">
        <v>23</v>
      </c>
      <c r="S7" s="770">
        <f t="shared" ref="S7:S15" si="0">F7</f>
        <v>0</v>
      </c>
      <c r="T7" s="769" t="s">
        <v>23</v>
      </c>
      <c r="U7" s="770">
        <f t="shared" ref="U7:U15" si="1">H7</f>
        <v>0</v>
      </c>
      <c r="V7" s="769" t="s">
        <v>23</v>
      </c>
      <c r="W7" s="770">
        <f t="shared" ref="W7:W15" si="2">J7</f>
        <v>0</v>
      </c>
      <c r="X7" s="771"/>
      <c r="Y7" s="3257" t="s">
        <v>2539</v>
      </c>
      <c r="Z7" s="3258"/>
      <c r="AA7" s="772" t="e">
        <f>D7/F7</f>
        <v>#DIV/0!</v>
      </c>
      <c r="AB7" s="772" t="e">
        <f>D7/H7</f>
        <v>#DIV/0!</v>
      </c>
      <c r="AC7" s="772"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57" t="s">
        <v>2542</v>
      </c>
      <c r="Q8" s="3258"/>
      <c r="R8" s="769" t="s">
        <v>23</v>
      </c>
      <c r="S8" s="770">
        <f t="shared" si="0"/>
        <v>0</v>
      </c>
      <c r="T8" s="769" t="s">
        <v>23</v>
      </c>
      <c r="U8" s="770">
        <f t="shared" si="1"/>
        <v>0</v>
      </c>
      <c r="V8" s="769" t="s">
        <v>23</v>
      </c>
      <c r="W8" s="770">
        <f t="shared" si="2"/>
        <v>0</v>
      </c>
      <c r="X8" s="771"/>
      <c r="Y8" s="3257" t="s">
        <v>2542</v>
      </c>
      <c r="Z8" s="3258"/>
      <c r="AA8" s="772" t="e">
        <f t="shared" ref="AA8:AA19" si="3">D8/F8</f>
        <v>#DIV/0!</v>
      </c>
      <c r="AB8" s="772" t="e">
        <f t="shared" ref="AB8:AB19" si="4">D8/H8</f>
        <v>#DIV/0!</v>
      </c>
      <c r="AC8" s="772"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32"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2"/>
      <c r="Q11" s="1793" t="str">
        <f t="shared" si="6"/>
        <v>容积率</v>
      </c>
      <c r="R11" s="769" t="s">
        <v>21</v>
      </c>
      <c r="S11" s="770" t="e">
        <f t="shared" si="0"/>
        <v>#N/A</v>
      </c>
      <c r="T11" s="769" t="s">
        <v>21</v>
      </c>
      <c r="U11" s="770" t="e">
        <f t="shared" si="1"/>
        <v>#N/A</v>
      </c>
      <c r="V11" s="769" t="s">
        <v>21</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32"/>
      <c r="Q12" s="1793">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32"/>
      <c r="Q13" s="1793">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32"/>
      <c r="Q14" s="1793">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0" t="s">
        <v>2550</v>
      </c>
      <c r="Q15" s="1808" t="str">
        <f t="shared" si="6"/>
        <v>居住社区成熟度</v>
      </c>
      <c r="R15" s="773" t="s">
        <v>21</v>
      </c>
      <c r="S15" s="774">
        <f t="shared" si="0"/>
        <v>100</v>
      </c>
      <c r="T15" s="773" t="s">
        <v>21</v>
      </c>
      <c r="U15" s="774">
        <f t="shared" si="1"/>
        <v>100</v>
      </c>
      <c r="V15" s="773" t="s">
        <v>21</v>
      </c>
      <c r="W15" s="774">
        <f t="shared" si="2"/>
        <v>100</v>
      </c>
      <c r="X15" s="1811"/>
      <c r="Y15" s="3223"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31"/>
      <c r="Q16" s="1808"/>
      <c r="R16" s="773"/>
      <c r="S16" s="774"/>
      <c r="T16" s="773"/>
      <c r="U16" s="774"/>
      <c r="V16" s="773"/>
      <c r="W16" s="774"/>
      <c r="X16" s="1811"/>
      <c r="Y16" s="3224"/>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1"/>
      <c r="Q17" s="1808" t="str">
        <f>B17</f>
        <v>交通便捷度</v>
      </c>
      <c r="R17" s="773" t="s">
        <v>21</v>
      </c>
      <c r="S17" s="774">
        <f>F17</f>
        <v>100</v>
      </c>
      <c r="T17" s="773" t="s">
        <v>21</v>
      </c>
      <c r="U17" s="774">
        <f>H17</f>
        <v>100</v>
      </c>
      <c r="V17" s="773" t="s">
        <v>21</v>
      </c>
      <c r="W17" s="774">
        <f>J17</f>
        <v>100</v>
      </c>
      <c r="X17" s="1811"/>
      <c r="Y17" s="3224"/>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31"/>
      <c r="Q18" s="1808"/>
      <c r="R18" s="773"/>
      <c r="S18" s="774"/>
      <c r="T18" s="773"/>
      <c r="U18" s="774"/>
      <c r="V18" s="773"/>
      <c r="W18" s="774"/>
      <c r="X18" s="1811"/>
      <c r="Y18" s="3224"/>
      <c r="Z18" s="1812"/>
      <c r="AA18" s="1809">
        <v>1</v>
      </c>
      <c r="AB18" s="1809">
        <v>1</v>
      </c>
      <c r="AC18" s="1809">
        <v>1</v>
      </c>
    </row>
    <row r="19" spans="1:29" ht="242.25">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1"/>
      <c r="Q19" s="1808" t="str">
        <f>B19</f>
        <v>公共配套设施</v>
      </c>
      <c r="R19" s="773" t="s">
        <v>21</v>
      </c>
      <c r="S19" s="774">
        <f>F19</f>
        <v>100</v>
      </c>
      <c r="T19" s="773" t="s">
        <v>21</v>
      </c>
      <c r="U19" s="774">
        <f>H19</f>
        <v>100</v>
      </c>
      <c r="V19" s="773" t="s">
        <v>21</v>
      </c>
      <c r="W19" s="774">
        <f>J19</f>
        <v>100</v>
      </c>
      <c r="X19" s="1811"/>
      <c r="Y19" s="3224"/>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31"/>
      <c r="Q20" s="1808"/>
      <c r="R20" s="773"/>
      <c r="S20" s="774"/>
      <c r="T20" s="773"/>
      <c r="U20" s="774"/>
      <c r="V20" s="773"/>
      <c r="W20" s="774"/>
      <c r="X20" s="1811"/>
      <c r="Y20" s="3224"/>
      <c r="Z20" s="1812"/>
      <c r="AA20" s="1809">
        <v>1</v>
      </c>
      <c r="AB20" s="1809">
        <v>1</v>
      </c>
      <c r="AC20" s="1809">
        <v>1</v>
      </c>
    </row>
    <row r="21" spans="1:29" ht="28.5">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1"/>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31"/>
      <c r="Q22" s="1808"/>
      <c r="R22" s="773"/>
      <c r="S22" s="774"/>
      <c r="T22" s="773"/>
      <c r="U22" s="774"/>
      <c r="V22" s="773"/>
      <c r="W22" s="774"/>
      <c r="X22" s="1811"/>
      <c r="Y22" s="3224"/>
      <c r="Z22" s="1812"/>
      <c r="AA22" s="1809">
        <v>1</v>
      </c>
      <c r="AB22" s="1809">
        <v>1</v>
      </c>
      <c r="AC22" s="1809">
        <v>1</v>
      </c>
    </row>
    <row r="23" spans="1:29" ht="199.5">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1"/>
      <c r="Q23" s="1808" t="str">
        <f>B23</f>
        <v>自然及人文环境</v>
      </c>
      <c r="R23" s="773" t="s">
        <v>21</v>
      </c>
      <c r="S23" s="774">
        <f>F23</f>
        <v>100</v>
      </c>
      <c r="T23" s="773" t="s">
        <v>21</v>
      </c>
      <c r="U23" s="774">
        <f>H23</f>
        <v>100</v>
      </c>
      <c r="V23" s="773" t="s">
        <v>21</v>
      </c>
      <c r="W23" s="774">
        <f>J23</f>
        <v>100</v>
      </c>
      <c r="X23" s="1811"/>
      <c r="Y23" s="3224"/>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31"/>
      <c r="Q24" s="1808"/>
      <c r="R24" s="773"/>
      <c r="S24" s="774"/>
      <c r="T24" s="773"/>
      <c r="U24" s="774"/>
      <c r="V24" s="773"/>
      <c r="W24" s="774"/>
      <c r="X24" s="1811"/>
      <c r="Y24" s="3224"/>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3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4"/>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31"/>
      <c r="Q26" s="1808" t="str">
        <f t="shared" si="11"/>
        <v>朝向</v>
      </c>
      <c r="R26" s="773" t="s">
        <v>21</v>
      </c>
      <c r="S26" s="774">
        <f t="shared" si="12"/>
        <v>100</v>
      </c>
      <c r="T26" s="773" t="s">
        <v>21</v>
      </c>
      <c r="U26" s="774">
        <f t="shared" si="13"/>
        <v>100</v>
      </c>
      <c r="V26" s="773" t="s">
        <v>21</v>
      </c>
      <c r="W26" s="774">
        <f t="shared" si="14"/>
        <v>100</v>
      </c>
      <c r="X26" s="1811"/>
      <c r="Y26" s="3224"/>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31"/>
      <c r="Q27" s="1793">
        <f t="shared" si="11"/>
        <v>111</v>
      </c>
      <c r="R27" s="769" t="s">
        <v>21</v>
      </c>
      <c r="S27" s="770">
        <f t="shared" si="12"/>
        <v>100</v>
      </c>
      <c r="T27" s="769" t="s">
        <v>21</v>
      </c>
      <c r="U27" s="770">
        <f t="shared" si="13"/>
        <v>100</v>
      </c>
      <c r="V27" s="769" t="s">
        <v>21</v>
      </c>
      <c r="W27" s="770">
        <f t="shared" si="14"/>
        <v>100</v>
      </c>
      <c r="X27" s="771"/>
      <c r="Y27" s="3224"/>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31"/>
      <c r="Q28" s="1808">
        <f t="shared" si="11"/>
        <v>111</v>
      </c>
      <c r="R28" s="773" t="s">
        <v>21</v>
      </c>
      <c r="S28" s="774">
        <f t="shared" si="12"/>
        <v>100</v>
      </c>
      <c r="T28" s="773" t="s">
        <v>21</v>
      </c>
      <c r="U28" s="774">
        <f t="shared" si="13"/>
        <v>100</v>
      </c>
      <c r="V28" s="773" t="s">
        <v>21</v>
      </c>
      <c r="W28" s="774">
        <f t="shared" si="14"/>
        <v>100</v>
      </c>
      <c r="X28" s="1811"/>
      <c r="Y28" s="3224"/>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31"/>
      <c r="Q29" s="1808">
        <f t="shared" si="11"/>
        <v>111</v>
      </c>
      <c r="R29" s="773" t="s">
        <v>21</v>
      </c>
      <c r="S29" s="774">
        <f t="shared" si="12"/>
        <v>100</v>
      </c>
      <c r="T29" s="773" t="s">
        <v>21</v>
      </c>
      <c r="U29" s="774">
        <f t="shared" si="13"/>
        <v>100</v>
      </c>
      <c r="V29" s="773" t="s">
        <v>21</v>
      </c>
      <c r="W29" s="774">
        <f t="shared" si="14"/>
        <v>100</v>
      </c>
      <c r="X29" s="1811"/>
      <c r="Y29" s="3224"/>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31"/>
      <c r="Q30" s="1808">
        <f t="shared" si="11"/>
        <v>111</v>
      </c>
      <c r="R30" s="773" t="s">
        <v>21</v>
      </c>
      <c r="S30" s="774">
        <f t="shared" si="12"/>
        <v>100</v>
      </c>
      <c r="T30" s="773" t="s">
        <v>21</v>
      </c>
      <c r="U30" s="774">
        <f t="shared" si="13"/>
        <v>100</v>
      </c>
      <c r="V30" s="773" t="s">
        <v>21</v>
      </c>
      <c r="W30" s="774">
        <f t="shared" si="14"/>
        <v>100</v>
      </c>
      <c r="X30" s="1811"/>
      <c r="Y30" s="3224"/>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31"/>
      <c r="Q31" s="1808">
        <f t="shared" si="11"/>
        <v>111</v>
      </c>
      <c r="R31" s="773" t="s">
        <v>21</v>
      </c>
      <c r="S31" s="774">
        <f t="shared" si="12"/>
        <v>100</v>
      </c>
      <c r="T31" s="773" t="s">
        <v>21</v>
      </c>
      <c r="U31" s="774">
        <f t="shared" si="13"/>
        <v>100</v>
      </c>
      <c r="V31" s="773" t="s">
        <v>21</v>
      </c>
      <c r="W31" s="774">
        <f t="shared" si="14"/>
        <v>100</v>
      </c>
      <c r="X31" s="1811"/>
      <c r="Y31" s="3224"/>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25" t="s">
        <v>2555</v>
      </c>
      <c r="Q32" s="1808" t="str">
        <f t="shared" si="11"/>
        <v>建筑类型</v>
      </c>
      <c r="R32" s="773" t="s">
        <v>21</v>
      </c>
      <c r="S32" s="774">
        <f t="shared" si="12"/>
        <v>100</v>
      </c>
      <c r="T32" s="773" t="s">
        <v>21</v>
      </c>
      <c r="U32" s="774">
        <f t="shared" si="13"/>
        <v>100</v>
      </c>
      <c r="V32" s="773" t="s">
        <v>21</v>
      </c>
      <c r="W32" s="774">
        <f t="shared" si="14"/>
        <v>100</v>
      </c>
      <c r="X32" s="1811"/>
      <c r="Y32" s="3228"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26"/>
      <c r="Q33" s="775" t="str">
        <f t="shared" si="11"/>
        <v>项目建筑规模</v>
      </c>
      <c r="R33" s="776" t="s">
        <v>21</v>
      </c>
      <c r="S33" s="777" t="e">
        <f t="shared" si="12"/>
        <v>#N/A</v>
      </c>
      <c r="T33" s="776" t="s">
        <v>21</v>
      </c>
      <c r="U33" s="777" t="e">
        <f t="shared" si="13"/>
        <v>#N/A</v>
      </c>
      <c r="V33" s="776" t="s">
        <v>21</v>
      </c>
      <c r="W33" s="777" t="e">
        <f t="shared" si="14"/>
        <v>#N/A</v>
      </c>
      <c r="X33" s="778"/>
      <c r="Y33" s="3228"/>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26"/>
      <c r="Q34" s="1808" t="str">
        <f t="shared" si="11"/>
        <v>建筑结构</v>
      </c>
      <c r="R34" s="773" t="s">
        <v>21</v>
      </c>
      <c r="S34" s="774">
        <f t="shared" si="12"/>
        <v>100</v>
      </c>
      <c r="T34" s="773" t="s">
        <v>21</v>
      </c>
      <c r="U34" s="774">
        <f t="shared" si="13"/>
        <v>100</v>
      </c>
      <c r="V34" s="773" t="s">
        <v>21</v>
      </c>
      <c r="W34" s="774">
        <f t="shared" si="14"/>
        <v>100</v>
      </c>
      <c r="X34" s="1811"/>
      <c r="Y34" s="3228"/>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26"/>
      <c r="Q35" s="1808" t="str">
        <f t="shared" si="11"/>
        <v>建筑品质</v>
      </c>
      <c r="R35" s="773" t="s">
        <v>21</v>
      </c>
      <c r="S35" s="774">
        <f t="shared" si="12"/>
        <v>100</v>
      </c>
      <c r="T35" s="773" t="s">
        <v>21</v>
      </c>
      <c r="U35" s="774">
        <f t="shared" si="13"/>
        <v>100</v>
      </c>
      <c r="V35" s="773" t="s">
        <v>21</v>
      </c>
      <c r="W35" s="774">
        <f t="shared" si="14"/>
        <v>100</v>
      </c>
      <c r="X35" s="1811"/>
      <c r="Y35" s="3228"/>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26"/>
      <c r="Q36" s="1808" t="str">
        <f t="shared" si="11"/>
        <v>公共部分装修</v>
      </c>
      <c r="R36" s="773" t="s">
        <v>21</v>
      </c>
      <c r="S36" s="774">
        <f t="shared" si="12"/>
        <v>100</v>
      </c>
      <c r="T36" s="773" t="s">
        <v>21</v>
      </c>
      <c r="U36" s="774">
        <f t="shared" si="13"/>
        <v>100</v>
      </c>
      <c r="V36" s="773" t="s">
        <v>21</v>
      </c>
      <c r="W36" s="774">
        <f t="shared" si="14"/>
        <v>100</v>
      </c>
      <c r="X36" s="1811"/>
      <c r="Y36" s="3228"/>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6"/>
      <c r="Q37" s="1793" t="str">
        <f t="shared" si="11"/>
        <v>成新度</v>
      </c>
      <c r="R37" s="769" t="s">
        <v>21</v>
      </c>
      <c r="S37" s="770" t="e">
        <f t="shared" si="12"/>
        <v>#N/A</v>
      </c>
      <c r="T37" s="769" t="s">
        <v>21</v>
      </c>
      <c r="U37" s="770" t="e">
        <f t="shared" si="13"/>
        <v>#N/A</v>
      </c>
      <c r="V37" s="769" t="s">
        <v>21</v>
      </c>
      <c r="W37" s="770" t="e">
        <f t="shared" si="14"/>
        <v>#N/A</v>
      </c>
      <c r="X37" s="771"/>
      <c r="Y37" s="3228"/>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26" t="s">
        <v>2555</v>
      </c>
      <c r="Q38" s="1808" t="str">
        <f t="shared" si="11"/>
        <v>物业管理</v>
      </c>
      <c r="R38" s="773" t="s">
        <v>21</v>
      </c>
      <c r="S38" s="774">
        <f t="shared" si="12"/>
        <v>100</v>
      </c>
      <c r="T38" s="773" t="s">
        <v>21</v>
      </c>
      <c r="U38" s="774">
        <f t="shared" si="13"/>
        <v>100</v>
      </c>
      <c r="V38" s="773" t="s">
        <v>21</v>
      </c>
      <c r="W38" s="774">
        <f t="shared" si="14"/>
        <v>100</v>
      </c>
      <c r="X38" s="1811"/>
      <c r="Y38" s="3228"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26"/>
      <c r="Q39" s="1808" t="str">
        <f t="shared" si="11"/>
        <v>市政基础设施</v>
      </c>
      <c r="R39" s="773" t="s">
        <v>21</v>
      </c>
      <c r="S39" s="774">
        <f t="shared" si="12"/>
        <v>100</v>
      </c>
      <c r="T39" s="773" t="s">
        <v>21</v>
      </c>
      <c r="U39" s="774">
        <f t="shared" si="13"/>
        <v>100</v>
      </c>
      <c r="V39" s="773" t="s">
        <v>21</v>
      </c>
      <c r="W39" s="774">
        <f t="shared" si="14"/>
        <v>100</v>
      </c>
      <c r="X39" s="1811"/>
      <c r="Y39" s="3228"/>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26"/>
      <c r="Q40" s="1808" t="str">
        <f t="shared" si="11"/>
        <v>房型</v>
      </c>
      <c r="R40" s="773" t="s">
        <v>21</v>
      </c>
      <c r="S40" s="774">
        <f t="shared" si="12"/>
        <v>100</v>
      </c>
      <c r="T40" s="773" t="s">
        <v>21</v>
      </c>
      <c r="U40" s="774">
        <f t="shared" si="13"/>
        <v>100</v>
      </c>
      <c r="V40" s="773" t="s">
        <v>21</v>
      </c>
      <c r="W40" s="774">
        <f t="shared" si="14"/>
        <v>100</v>
      </c>
      <c r="X40" s="1811"/>
      <c r="Y40" s="3228"/>
      <c r="Z40" s="1812" t="str">
        <f t="shared" si="18"/>
        <v>房型</v>
      </c>
      <c r="AA40" s="1809">
        <f t="shared" si="15"/>
        <v>1</v>
      </c>
      <c r="AB40" s="1809">
        <f t="shared" si="16"/>
        <v>1</v>
      </c>
      <c r="AC40" s="1809">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26"/>
      <c r="Q41" s="775" t="str">
        <f t="shared" si="11"/>
        <v>单套/主力户型建筑面积</v>
      </c>
      <c r="R41" s="776" t="s">
        <v>21</v>
      </c>
      <c r="S41" s="777">
        <f t="shared" si="12"/>
        <v>100</v>
      </c>
      <c r="T41" s="776" t="s">
        <v>21</v>
      </c>
      <c r="U41" s="777">
        <f t="shared" si="13"/>
        <v>100</v>
      </c>
      <c r="V41" s="776" t="s">
        <v>21</v>
      </c>
      <c r="W41" s="777">
        <f t="shared" si="14"/>
        <v>100</v>
      </c>
      <c r="X41" s="778"/>
      <c r="Y41" s="3228"/>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26"/>
      <c r="Q42" s="1808" t="str">
        <f t="shared" si="11"/>
        <v>内部装修</v>
      </c>
      <c r="R42" s="773" t="s">
        <v>21</v>
      </c>
      <c r="S42" s="774">
        <f t="shared" si="12"/>
        <v>100</v>
      </c>
      <c r="T42" s="773" t="s">
        <v>21</v>
      </c>
      <c r="U42" s="774">
        <f t="shared" si="13"/>
        <v>100</v>
      </c>
      <c r="V42" s="773" t="s">
        <v>21</v>
      </c>
      <c r="W42" s="774">
        <f t="shared" si="14"/>
        <v>100</v>
      </c>
      <c r="X42" s="1811"/>
      <c r="Y42" s="3228"/>
      <c r="Z42" s="1812" t="str">
        <f t="shared" si="18"/>
        <v>内部装修</v>
      </c>
      <c r="AA42" s="1809">
        <f t="shared" si="15"/>
        <v>1</v>
      </c>
      <c r="AB42" s="1809">
        <f t="shared" si="16"/>
        <v>1</v>
      </c>
      <c r="AC42" s="1809">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26"/>
      <c r="Q43" s="1808" t="str">
        <f t="shared" si="11"/>
        <v>内部装修维护情况</v>
      </c>
      <c r="R43" s="773" t="s">
        <v>21</v>
      </c>
      <c r="S43" s="774">
        <f t="shared" si="12"/>
        <v>100</v>
      </c>
      <c r="T43" s="773" t="s">
        <v>21</v>
      </c>
      <c r="U43" s="774">
        <f t="shared" si="13"/>
        <v>100</v>
      </c>
      <c r="V43" s="773" t="s">
        <v>21</v>
      </c>
      <c r="W43" s="774">
        <f t="shared" si="14"/>
        <v>100</v>
      </c>
      <c r="X43" s="1811"/>
      <c r="Y43" s="3228"/>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26"/>
      <c r="Q44" s="1793">
        <f t="shared" si="11"/>
        <v>111</v>
      </c>
      <c r="R44" s="769" t="s">
        <v>21</v>
      </c>
      <c r="S44" s="770">
        <f t="shared" si="12"/>
        <v>100</v>
      </c>
      <c r="T44" s="769" t="s">
        <v>21</v>
      </c>
      <c r="U44" s="770">
        <f t="shared" si="13"/>
        <v>100</v>
      </c>
      <c r="V44" s="769" t="s">
        <v>21</v>
      </c>
      <c r="W44" s="770">
        <f t="shared" si="14"/>
        <v>100</v>
      </c>
      <c r="X44" s="771"/>
      <c r="Y44" s="3228"/>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26"/>
      <c r="Q45" s="1808">
        <f t="shared" si="11"/>
        <v>111</v>
      </c>
      <c r="R45" s="773" t="s">
        <v>21</v>
      </c>
      <c r="S45" s="774">
        <f t="shared" si="12"/>
        <v>100</v>
      </c>
      <c r="T45" s="773" t="s">
        <v>21</v>
      </c>
      <c r="U45" s="774">
        <f t="shared" si="13"/>
        <v>100</v>
      </c>
      <c r="V45" s="773" t="s">
        <v>21</v>
      </c>
      <c r="W45" s="774">
        <f t="shared" si="14"/>
        <v>100</v>
      </c>
      <c r="X45" s="1811"/>
      <c r="Y45" s="3228"/>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27"/>
      <c r="Q46" s="1808">
        <f t="shared" si="11"/>
        <v>111</v>
      </c>
      <c r="R46" s="773" t="s">
        <v>20</v>
      </c>
      <c r="S46" s="774">
        <f t="shared" si="12"/>
        <v>100</v>
      </c>
      <c r="T46" s="773" t="s">
        <v>20</v>
      </c>
      <c r="U46" s="774">
        <f t="shared" si="13"/>
        <v>100</v>
      </c>
      <c r="V46" s="773" t="s">
        <v>20</v>
      </c>
      <c r="W46" s="774">
        <f t="shared" si="14"/>
        <v>100</v>
      </c>
      <c r="X46" s="1811"/>
      <c r="Y46" s="3229"/>
      <c r="Z46" s="1812">
        <f t="shared" si="18"/>
        <v>111</v>
      </c>
      <c r="AA46" s="1809">
        <f t="shared" si="15"/>
        <v>1</v>
      </c>
      <c r="AB46" s="1809">
        <f t="shared" si="16"/>
        <v>1</v>
      </c>
      <c r="AC46" s="1809">
        <f t="shared" si="17"/>
        <v>1</v>
      </c>
    </row>
    <row r="47" spans="1:29" ht="15">
      <c r="A47" s="479" t="s">
        <v>2567</v>
      </c>
      <c r="B47" s="480"/>
      <c r="C47" s="1405" t="s">
        <v>19</v>
      </c>
      <c r="D47" s="1406"/>
      <c r="E47" s="1407"/>
      <c r="F47" s="1408"/>
      <c r="G47" s="1409"/>
      <c r="H47" s="1410"/>
      <c r="I47" s="1407"/>
      <c r="J47" s="1410"/>
      <c r="K47" s="2617"/>
      <c r="L47" s="1142"/>
      <c r="M47" s="1143"/>
      <c r="N47" s="1130"/>
      <c r="O47" s="1143"/>
      <c r="P47" s="3221" t="str">
        <f>A47</f>
        <v>成交单价（元/平方米）</v>
      </c>
      <c r="Q47" s="3221"/>
      <c r="R47" s="3222">
        <f>E47</f>
        <v>0</v>
      </c>
      <c r="S47" s="3222"/>
      <c r="T47" s="3222">
        <f>G47</f>
        <v>0</v>
      </c>
      <c r="U47" s="3222"/>
      <c r="V47" s="3222">
        <f>I47</f>
        <v>0</v>
      </c>
      <c r="W47" s="3222"/>
      <c r="X47" s="758"/>
      <c r="Y47" s="780"/>
      <c r="Z47" s="758"/>
      <c r="AA47" s="758"/>
      <c r="AB47" s="758"/>
      <c r="AC47" s="758"/>
    </row>
    <row r="48" spans="1:29" ht="15.7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2569</v>
      </c>
      <c r="B49" s="493"/>
      <c r="C49" s="1414" t="e">
        <f>R49</f>
        <v>#DIV/0!</v>
      </c>
      <c r="D49" s="1415"/>
      <c r="E49" s="1415"/>
      <c r="F49" s="1415"/>
      <c r="G49" s="1415"/>
      <c r="H49" s="1415"/>
      <c r="I49" s="1415"/>
      <c r="J49" s="1415"/>
      <c r="K49" s="2619"/>
      <c r="L49" s="1142"/>
      <c r="M49" s="1143"/>
      <c r="N49" s="1143"/>
      <c r="O49" s="1143"/>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2"/>
      <c r="Q57" s="504"/>
    </row>
    <row r="58" spans="1:29" s="508" customFormat="1" ht="15">
      <c r="A58" s="505" t="s">
        <v>2574</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2601</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2553</v>
      </c>
      <c r="B100" s="528" t="s">
        <v>2602</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5.75"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c r="B147" s="2633" t="s">
        <v>2630</v>
      </c>
    </row>
    <row r="148" spans="2:11">
      <c r="B148" s="2633"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435.22</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52" t="s">
        <v>2638</v>
      </c>
      <c r="AC4" s="3233" t="s">
        <v>2639</v>
      </c>
    </row>
    <row r="5" spans="1:29"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52"/>
      <c r="AC5" s="3234"/>
    </row>
    <row r="6" spans="1:29" ht="15.75" thickBot="1">
      <c r="A6" s="406"/>
      <c r="B6" s="407"/>
      <c r="C6" s="3253" t="s">
        <v>2536</v>
      </c>
      <c r="D6" s="3254"/>
      <c r="E6" s="3260" t="s">
        <v>2536</v>
      </c>
      <c r="F6" s="3261"/>
      <c r="G6" s="3253" t="s">
        <v>2536</v>
      </c>
      <c r="H6" s="3254"/>
      <c r="I6" s="3253" t="s">
        <v>2536</v>
      </c>
      <c r="J6" s="3254"/>
      <c r="K6" s="610" t="s">
        <v>2537</v>
      </c>
      <c r="L6" s="1129"/>
      <c r="M6" s="1130"/>
      <c r="N6" s="1130"/>
      <c r="O6" s="1130"/>
      <c r="P6" s="3244"/>
      <c r="Q6" s="3245"/>
      <c r="R6" s="3248"/>
      <c r="S6" s="3249"/>
      <c r="T6" s="3250"/>
      <c r="U6" s="3251"/>
      <c r="V6" s="3252"/>
      <c r="W6" s="3252"/>
      <c r="X6" s="1811"/>
      <c r="Y6" s="3250"/>
      <c r="Z6" s="3251"/>
      <c r="AA6" s="3235"/>
      <c r="AB6" s="3252"/>
      <c r="AC6" s="3235"/>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57" t="s">
        <v>2539</v>
      </c>
      <c r="Q7" s="3259"/>
      <c r="R7" s="769" t="s">
        <v>17</v>
      </c>
      <c r="S7" s="770">
        <f t="shared" ref="S7:S15" si="0">F7</f>
        <v>0</v>
      </c>
      <c r="T7" s="769" t="s">
        <v>17</v>
      </c>
      <c r="U7" s="770">
        <f t="shared" ref="U7:U15" si="1">H7</f>
        <v>0</v>
      </c>
      <c r="V7" s="769" t="s">
        <v>17</v>
      </c>
      <c r="W7" s="770">
        <f t="shared" ref="W7:W15" si="2">J7</f>
        <v>0</v>
      </c>
      <c r="X7" s="771"/>
      <c r="Y7" s="3257" t="s">
        <v>2539</v>
      </c>
      <c r="Z7" s="3258"/>
      <c r="AA7" s="772" t="e">
        <f>D7/F7</f>
        <v>#DIV/0!</v>
      </c>
      <c r="AB7" s="772" t="e">
        <f>D7/H7</f>
        <v>#DIV/0!</v>
      </c>
      <c r="AC7" s="772"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46" si="3">D8/F8</f>
        <v>#DIV/0!</v>
      </c>
      <c r="AB8" s="772" t="e">
        <f t="shared" ref="AB8:AB46" si="4">D8/H8</f>
        <v>#DIV/0!</v>
      </c>
      <c r="AC8" s="772"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2"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2"/>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2"/>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0" t="s">
        <v>2550</v>
      </c>
      <c r="Q15" s="1808" t="str">
        <f t="shared" si="6"/>
        <v>商业繁华度</v>
      </c>
      <c r="R15" s="773" t="s">
        <v>17</v>
      </c>
      <c r="S15" s="774">
        <f t="shared" si="0"/>
        <v>100</v>
      </c>
      <c r="T15" s="773" t="s">
        <v>17</v>
      </c>
      <c r="U15" s="774">
        <f t="shared" si="1"/>
        <v>100</v>
      </c>
      <c r="V15" s="773" t="s">
        <v>17</v>
      </c>
      <c r="W15" s="774">
        <f t="shared" si="2"/>
        <v>100</v>
      </c>
      <c r="X15" s="1811"/>
      <c r="Y15" s="3223"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1"/>
      <c r="Q16" s="1808"/>
      <c r="R16" s="773"/>
      <c r="S16" s="774"/>
      <c r="T16" s="773"/>
      <c r="U16" s="774"/>
      <c r="V16" s="773"/>
      <c r="W16" s="774"/>
      <c r="X16" s="1811"/>
      <c r="Y16" s="3224"/>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1"/>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31"/>
      <c r="Q18" s="1808"/>
      <c r="R18" s="773"/>
      <c r="S18" s="774"/>
      <c r="T18" s="773"/>
      <c r="U18" s="774"/>
      <c r="V18" s="773"/>
      <c r="W18" s="774"/>
      <c r="X18" s="1811"/>
      <c r="Y18" s="3224"/>
      <c r="Z18" s="1812"/>
      <c r="AA18" s="1809">
        <v>1</v>
      </c>
      <c r="AB18" s="1809">
        <v>1</v>
      </c>
      <c r="AC18" s="1809">
        <v>1</v>
      </c>
    </row>
    <row r="19" spans="1:29" ht="242.25">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1"/>
      <c r="Q19" s="1808" t="str">
        <f>B19</f>
        <v>公共配套设施</v>
      </c>
      <c r="R19" s="773" t="s">
        <v>17</v>
      </c>
      <c r="S19" s="774">
        <f>F19</f>
        <v>100</v>
      </c>
      <c r="T19" s="773" t="s">
        <v>17</v>
      </c>
      <c r="U19" s="774">
        <f>H19</f>
        <v>100</v>
      </c>
      <c r="V19" s="773" t="s">
        <v>17</v>
      </c>
      <c r="W19" s="774">
        <f>J19</f>
        <v>100</v>
      </c>
      <c r="X19" s="1811"/>
      <c r="Y19" s="322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31"/>
      <c r="Q20" s="1808"/>
      <c r="R20" s="773"/>
      <c r="S20" s="774"/>
      <c r="T20" s="773"/>
      <c r="U20" s="774"/>
      <c r="V20" s="773"/>
      <c r="W20" s="774"/>
      <c r="X20" s="1811"/>
      <c r="Y20" s="3224"/>
      <c r="Z20" s="1812"/>
      <c r="AA20" s="1809">
        <v>1</v>
      </c>
      <c r="AB20" s="1809">
        <v>1</v>
      </c>
      <c r="AC20" s="1809">
        <v>1</v>
      </c>
    </row>
    <row r="21" spans="1:29" ht="28.5">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1"/>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31"/>
      <c r="Q22" s="1808"/>
      <c r="R22" s="773"/>
      <c r="S22" s="774"/>
      <c r="T22" s="773"/>
      <c r="U22" s="774"/>
      <c r="V22" s="773"/>
      <c r="W22" s="774"/>
      <c r="X22" s="1811"/>
      <c r="Y22" s="3224"/>
      <c r="Z22" s="1812"/>
      <c r="AA22" s="1809">
        <v>1</v>
      </c>
      <c r="AB22" s="1809">
        <v>1</v>
      </c>
      <c r="AC22" s="1809">
        <v>1</v>
      </c>
    </row>
    <row r="23" spans="1:29" ht="199.5">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1"/>
      <c r="Q23" s="1808" t="str">
        <f>B23</f>
        <v>自然及人文环境</v>
      </c>
      <c r="R23" s="773" t="s">
        <v>17</v>
      </c>
      <c r="S23" s="774">
        <f>F23</f>
        <v>100</v>
      </c>
      <c r="T23" s="773" t="s">
        <v>17</v>
      </c>
      <c r="U23" s="774">
        <f>H23</f>
        <v>100</v>
      </c>
      <c r="V23" s="773" t="s">
        <v>17</v>
      </c>
      <c r="W23" s="774">
        <f>J23</f>
        <v>100</v>
      </c>
      <c r="X23" s="1811"/>
      <c r="Y23" s="3224"/>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31"/>
      <c r="Q24" s="1808"/>
      <c r="R24" s="773"/>
      <c r="S24" s="774"/>
      <c r="T24" s="773"/>
      <c r="U24" s="774"/>
      <c r="V24" s="773"/>
      <c r="W24" s="774"/>
      <c r="X24" s="1811"/>
      <c r="Y24" s="3224"/>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1"/>
      <c r="Q25" s="1808" t="str">
        <f t="shared" ref="Q25:Q46" si="11">B25</f>
        <v>临街状况</v>
      </c>
      <c r="R25" s="773" t="s">
        <v>17</v>
      </c>
      <c r="S25" s="774">
        <f>F25</f>
        <v>100</v>
      </c>
      <c r="T25" s="773" t="s">
        <v>17</v>
      </c>
      <c r="U25" s="774">
        <f>H25</f>
        <v>100</v>
      </c>
      <c r="V25" s="773" t="s">
        <v>17</v>
      </c>
      <c r="W25" s="774">
        <f>J25</f>
        <v>100</v>
      </c>
      <c r="X25" s="1811"/>
      <c r="Y25" s="3224"/>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1"/>
      <c r="Q26" s="1808" t="str">
        <f t="shared" si="11"/>
        <v>平面位置/可视性</v>
      </c>
      <c r="R26" s="773" t="s">
        <v>17</v>
      </c>
      <c r="S26" s="774">
        <f>F26</f>
        <v>100</v>
      </c>
      <c r="T26" s="773" t="s">
        <v>17</v>
      </c>
      <c r="U26" s="774">
        <f>H26</f>
        <v>100</v>
      </c>
      <c r="V26" s="773" t="s">
        <v>17</v>
      </c>
      <c r="W26" s="774">
        <f>J26</f>
        <v>100</v>
      </c>
      <c r="X26" s="1811"/>
      <c r="Y26" s="3224"/>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31"/>
      <c r="Q27" s="1793" t="str">
        <f t="shared" si="11"/>
        <v>人流量</v>
      </c>
      <c r="R27" s="769" t="s">
        <v>17</v>
      </c>
      <c r="S27" s="770">
        <f>F27</f>
        <v>100</v>
      </c>
      <c r="T27" s="769" t="s">
        <v>17</v>
      </c>
      <c r="U27" s="770">
        <f>H27</f>
        <v>100</v>
      </c>
      <c r="V27" s="769" t="s">
        <v>17</v>
      </c>
      <c r="W27" s="770">
        <f>J27</f>
        <v>100</v>
      </c>
      <c r="X27" s="771"/>
      <c r="Y27" s="3224"/>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4"/>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1"/>
      <c r="Q29" s="1808">
        <f t="shared" si="11"/>
        <v>111</v>
      </c>
      <c r="R29" s="773" t="s">
        <v>17</v>
      </c>
      <c r="S29" s="774">
        <f t="shared" si="12"/>
        <v>100</v>
      </c>
      <c r="T29" s="773" t="s">
        <v>17</v>
      </c>
      <c r="U29" s="774">
        <f t="shared" si="13"/>
        <v>100</v>
      </c>
      <c r="V29" s="773" t="s">
        <v>17</v>
      </c>
      <c r="W29" s="774">
        <f t="shared" si="14"/>
        <v>100</v>
      </c>
      <c r="X29" s="1811"/>
      <c r="Y29" s="3224"/>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1"/>
      <c r="Q30" s="1808">
        <f t="shared" si="11"/>
        <v>111</v>
      </c>
      <c r="R30" s="773" t="s">
        <v>17</v>
      </c>
      <c r="S30" s="774">
        <f t="shared" si="12"/>
        <v>100</v>
      </c>
      <c r="T30" s="773" t="s">
        <v>17</v>
      </c>
      <c r="U30" s="774">
        <f t="shared" si="13"/>
        <v>100</v>
      </c>
      <c r="V30" s="773" t="s">
        <v>17</v>
      </c>
      <c r="W30" s="774">
        <f t="shared" si="14"/>
        <v>100</v>
      </c>
      <c r="X30" s="1811"/>
      <c r="Y30" s="3224"/>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1"/>
      <c r="Q31" s="1808">
        <f t="shared" si="11"/>
        <v>111</v>
      </c>
      <c r="R31" s="773" t="s">
        <v>17</v>
      </c>
      <c r="S31" s="774">
        <f t="shared" si="12"/>
        <v>100</v>
      </c>
      <c r="T31" s="773" t="s">
        <v>17</v>
      </c>
      <c r="U31" s="774">
        <f t="shared" si="13"/>
        <v>100</v>
      </c>
      <c r="V31" s="773" t="s">
        <v>17</v>
      </c>
      <c r="W31" s="774">
        <f t="shared" si="14"/>
        <v>100</v>
      </c>
      <c r="X31" s="1811"/>
      <c r="Y31" s="3224"/>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25" t="s">
        <v>2555</v>
      </c>
      <c r="Q32" s="1808" t="str">
        <f t="shared" si="11"/>
        <v>商业类型</v>
      </c>
      <c r="R32" s="773" t="s">
        <v>17</v>
      </c>
      <c r="S32" s="774">
        <f t="shared" si="12"/>
        <v>100</v>
      </c>
      <c r="T32" s="773" t="s">
        <v>17</v>
      </c>
      <c r="U32" s="774">
        <f t="shared" si="13"/>
        <v>100</v>
      </c>
      <c r="V32" s="773" t="s">
        <v>17</v>
      </c>
      <c r="W32" s="774">
        <f t="shared" si="14"/>
        <v>100</v>
      </c>
      <c r="X32" s="1811"/>
      <c r="Y32" s="3228"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6"/>
      <c r="Q33" s="775" t="str">
        <f t="shared" si="11"/>
        <v>项目建筑规模</v>
      </c>
      <c r="R33" s="776" t="s">
        <v>17</v>
      </c>
      <c r="S33" s="777" t="e">
        <f t="shared" si="12"/>
        <v>#N/A</v>
      </c>
      <c r="T33" s="776" t="s">
        <v>17</v>
      </c>
      <c r="U33" s="777" t="e">
        <f t="shared" si="13"/>
        <v>#N/A</v>
      </c>
      <c r="V33" s="776" t="s">
        <v>17</v>
      </c>
      <c r="W33" s="777" t="e">
        <f t="shared" si="14"/>
        <v>#N/A</v>
      </c>
      <c r="X33" s="778"/>
      <c r="Y33" s="3228"/>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26"/>
      <c r="Q34" s="1808" t="str">
        <f t="shared" si="11"/>
        <v>建筑结构</v>
      </c>
      <c r="R34" s="773" t="s">
        <v>17</v>
      </c>
      <c r="S34" s="774">
        <f t="shared" si="12"/>
        <v>100</v>
      </c>
      <c r="T34" s="773" t="s">
        <v>17</v>
      </c>
      <c r="U34" s="774">
        <f t="shared" si="13"/>
        <v>100</v>
      </c>
      <c r="V34" s="773" t="s">
        <v>17</v>
      </c>
      <c r="W34" s="774">
        <f t="shared" si="14"/>
        <v>100</v>
      </c>
      <c r="X34" s="1811"/>
      <c r="Y34" s="3228"/>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26"/>
      <c r="Q35" s="1808" t="str">
        <f t="shared" si="11"/>
        <v>公共部分装修</v>
      </c>
      <c r="R35" s="773" t="s">
        <v>17</v>
      </c>
      <c r="S35" s="774">
        <f t="shared" si="12"/>
        <v>100</v>
      </c>
      <c r="T35" s="773" t="s">
        <v>17</v>
      </c>
      <c r="U35" s="774">
        <f t="shared" si="13"/>
        <v>100</v>
      </c>
      <c r="V35" s="773" t="s">
        <v>17</v>
      </c>
      <c r="W35" s="774">
        <f t="shared" si="14"/>
        <v>100</v>
      </c>
      <c r="X35" s="1811"/>
      <c r="Y35" s="3228"/>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6"/>
      <c r="Q36" s="1808" t="str">
        <f t="shared" si="11"/>
        <v>成新度</v>
      </c>
      <c r="R36" s="773" t="s">
        <v>17</v>
      </c>
      <c r="S36" s="774" t="e">
        <f t="shared" si="12"/>
        <v>#N/A</v>
      </c>
      <c r="T36" s="773" t="s">
        <v>17</v>
      </c>
      <c r="U36" s="774" t="e">
        <f t="shared" si="13"/>
        <v>#N/A</v>
      </c>
      <c r="V36" s="773" t="s">
        <v>17</v>
      </c>
      <c r="W36" s="774" t="e">
        <f t="shared" si="14"/>
        <v>#N/A</v>
      </c>
      <c r="X36" s="1811"/>
      <c r="Y36" s="3228"/>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26"/>
      <c r="Q37" s="1793" t="str">
        <f t="shared" si="11"/>
        <v>市政基础设施</v>
      </c>
      <c r="R37" s="769" t="s">
        <v>17</v>
      </c>
      <c r="S37" s="770">
        <f t="shared" si="12"/>
        <v>100</v>
      </c>
      <c r="T37" s="769" t="s">
        <v>17</v>
      </c>
      <c r="U37" s="770">
        <f t="shared" si="13"/>
        <v>100</v>
      </c>
      <c r="V37" s="769" t="s">
        <v>17</v>
      </c>
      <c r="W37" s="770">
        <f t="shared" si="14"/>
        <v>100</v>
      </c>
      <c r="X37" s="771"/>
      <c r="Y37" s="3228"/>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26" t="s">
        <v>2555</v>
      </c>
      <c r="Q38" s="1808" t="str">
        <f t="shared" si="11"/>
        <v>业态</v>
      </c>
      <c r="R38" s="773" t="s">
        <v>17</v>
      </c>
      <c r="S38" s="774">
        <f t="shared" si="12"/>
        <v>100</v>
      </c>
      <c r="T38" s="773" t="s">
        <v>17</v>
      </c>
      <c r="U38" s="774">
        <f t="shared" si="13"/>
        <v>100</v>
      </c>
      <c r="V38" s="773" t="s">
        <v>17</v>
      </c>
      <c r="W38" s="774">
        <f t="shared" si="14"/>
        <v>100</v>
      </c>
      <c r="X38" s="1811"/>
      <c r="Y38" s="3228"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26"/>
      <c r="Q39" s="1808" t="str">
        <f t="shared" si="11"/>
        <v>层高</v>
      </c>
      <c r="R39" s="773" t="s">
        <v>17</v>
      </c>
      <c r="S39" s="774">
        <f t="shared" si="12"/>
        <v>100</v>
      </c>
      <c r="T39" s="773" t="s">
        <v>17</v>
      </c>
      <c r="U39" s="774">
        <f t="shared" si="13"/>
        <v>100</v>
      </c>
      <c r="V39" s="773" t="s">
        <v>17</v>
      </c>
      <c r="W39" s="774">
        <f t="shared" si="14"/>
        <v>100</v>
      </c>
      <c r="X39" s="1811"/>
      <c r="Y39" s="3228"/>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6"/>
      <c r="Q40" s="1808" t="str">
        <f t="shared" si="11"/>
        <v>单套建筑面积</v>
      </c>
      <c r="R40" s="773" t="s">
        <v>17</v>
      </c>
      <c r="S40" s="774">
        <f t="shared" si="12"/>
        <v>100</v>
      </c>
      <c r="T40" s="773" t="s">
        <v>17</v>
      </c>
      <c r="U40" s="774">
        <f t="shared" si="13"/>
        <v>100</v>
      </c>
      <c r="V40" s="773" t="s">
        <v>17</v>
      </c>
      <c r="W40" s="774">
        <f t="shared" si="14"/>
        <v>100</v>
      </c>
      <c r="X40" s="1811"/>
      <c r="Y40" s="3228"/>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6"/>
      <c r="Q41" s="775" t="str">
        <f t="shared" si="11"/>
        <v>进深比</v>
      </c>
      <c r="R41" s="776" t="s">
        <v>17</v>
      </c>
      <c r="S41" s="777">
        <f t="shared" si="12"/>
        <v>100</v>
      </c>
      <c r="T41" s="776" t="s">
        <v>17</v>
      </c>
      <c r="U41" s="777">
        <f t="shared" si="13"/>
        <v>100</v>
      </c>
      <c r="V41" s="776" t="s">
        <v>17</v>
      </c>
      <c r="W41" s="777">
        <f t="shared" si="14"/>
        <v>100</v>
      </c>
      <c r="X41" s="778"/>
      <c r="Y41" s="3228"/>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26"/>
      <c r="Q42" s="1808" t="str">
        <f t="shared" si="11"/>
        <v>内部装修</v>
      </c>
      <c r="R42" s="773" t="s">
        <v>17</v>
      </c>
      <c r="S42" s="774">
        <f t="shared" si="12"/>
        <v>100</v>
      </c>
      <c r="T42" s="773" t="s">
        <v>17</v>
      </c>
      <c r="U42" s="774">
        <f t="shared" si="13"/>
        <v>100</v>
      </c>
      <c r="V42" s="773" t="s">
        <v>17</v>
      </c>
      <c r="W42" s="774">
        <f t="shared" si="14"/>
        <v>100</v>
      </c>
      <c r="X42" s="1811"/>
      <c r="Y42" s="3228"/>
      <c r="Z42" s="1812" t="str">
        <f t="shared" si="15"/>
        <v>内部装修</v>
      </c>
      <c r="AA42" s="1809">
        <f t="shared" si="3"/>
        <v>1</v>
      </c>
      <c r="AB42" s="1809">
        <f t="shared" si="4"/>
        <v>1</v>
      </c>
      <c r="AC42" s="1809">
        <f t="shared" si="5"/>
        <v>1</v>
      </c>
    </row>
    <row r="43" spans="1:29" ht="15">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26"/>
      <c r="Q43" s="1808" t="str">
        <f t="shared" si="11"/>
        <v>内部装修维护情况</v>
      </c>
      <c r="R43" s="773" t="s">
        <v>17</v>
      </c>
      <c r="S43" s="774">
        <f t="shared" si="12"/>
        <v>100</v>
      </c>
      <c r="T43" s="773" t="s">
        <v>17</v>
      </c>
      <c r="U43" s="774">
        <f t="shared" si="13"/>
        <v>100</v>
      </c>
      <c r="V43" s="773" t="s">
        <v>17</v>
      </c>
      <c r="W43" s="774">
        <f t="shared" si="14"/>
        <v>100</v>
      </c>
      <c r="X43" s="1811"/>
      <c r="Y43" s="3228"/>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6"/>
      <c r="Q44" s="1793">
        <f t="shared" si="11"/>
        <v>111</v>
      </c>
      <c r="R44" s="769" t="s">
        <v>17</v>
      </c>
      <c r="S44" s="770">
        <f t="shared" si="12"/>
        <v>100</v>
      </c>
      <c r="T44" s="769" t="s">
        <v>17</v>
      </c>
      <c r="U44" s="770">
        <f t="shared" si="13"/>
        <v>100</v>
      </c>
      <c r="V44" s="769" t="s">
        <v>17</v>
      </c>
      <c r="W44" s="770">
        <f t="shared" si="14"/>
        <v>100</v>
      </c>
      <c r="X44" s="771"/>
      <c r="Y44" s="3228"/>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6"/>
      <c r="Q45" s="1808">
        <f t="shared" si="11"/>
        <v>111</v>
      </c>
      <c r="R45" s="773" t="s">
        <v>17</v>
      </c>
      <c r="S45" s="774">
        <f t="shared" si="12"/>
        <v>100</v>
      </c>
      <c r="T45" s="773" t="s">
        <v>17</v>
      </c>
      <c r="U45" s="774">
        <f t="shared" si="13"/>
        <v>100</v>
      </c>
      <c r="V45" s="773" t="s">
        <v>17</v>
      </c>
      <c r="W45" s="774">
        <f t="shared" si="14"/>
        <v>100</v>
      </c>
      <c r="X45" s="1811"/>
      <c r="Y45" s="3228"/>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7"/>
      <c r="Q46" s="1808">
        <f t="shared" si="11"/>
        <v>111</v>
      </c>
      <c r="R46" s="773" t="s">
        <v>17</v>
      </c>
      <c r="S46" s="774">
        <f t="shared" si="12"/>
        <v>100</v>
      </c>
      <c r="T46" s="773" t="s">
        <v>17</v>
      </c>
      <c r="U46" s="774">
        <f t="shared" si="13"/>
        <v>100</v>
      </c>
      <c r="V46" s="773" t="s">
        <v>17</v>
      </c>
      <c r="W46" s="774">
        <f t="shared" si="14"/>
        <v>100</v>
      </c>
      <c r="X46" s="1811"/>
      <c r="Y46" s="3229"/>
      <c r="Z46" s="1812">
        <f t="shared" si="15"/>
        <v>111</v>
      </c>
      <c r="AA46" s="1809">
        <f t="shared" si="3"/>
        <v>1</v>
      </c>
      <c r="AB46" s="1809">
        <f t="shared" si="4"/>
        <v>1</v>
      </c>
      <c r="AC46" s="1809">
        <f t="shared" si="5"/>
        <v>1</v>
      </c>
    </row>
    <row r="47" spans="1:29" ht="15">
      <c r="A47" s="479" t="s">
        <v>2567</v>
      </c>
      <c r="B47" s="480"/>
      <c r="C47" s="1405" t="s">
        <v>1</v>
      </c>
      <c r="D47" s="1406"/>
      <c r="E47" s="1407"/>
      <c r="F47" s="1408"/>
      <c r="G47" s="1409"/>
      <c r="H47" s="1410"/>
      <c r="I47" s="1407"/>
      <c r="J47" s="1410"/>
      <c r="K47" s="782"/>
      <c r="L47" s="1142"/>
      <c r="M47" s="1143"/>
      <c r="N47" s="1130"/>
      <c r="O47" s="1143"/>
      <c r="P47" s="3221" t="str">
        <f>A47</f>
        <v>成交单价（元/平方米）</v>
      </c>
      <c r="Q47" s="3221"/>
      <c r="R47" s="3252">
        <f>E47</f>
        <v>0</v>
      </c>
      <c r="S47" s="3252"/>
      <c r="T47" s="3252">
        <f>G47</f>
        <v>0</v>
      </c>
      <c r="U47" s="3252"/>
      <c r="V47" s="3252">
        <f>I47</f>
        <v>0</v>
      </c>
      <c r="W47" s="3252"/>
      <c r="X47" s="758"/>
      <c r="Y47" s="780"/>
      <c r="Z47" s="758"/>
      <c r="AA47" s="758"/>
      <c r="AB47" s="758"/>
      <c r="AC47" s="758"/>
    </row>
    <row r="48" spans="1:29" ht="15.7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8"/>
      <c r="Y48" s="758"/>
      <c r="Z48" s="758"/>
      <c r="AA48" s="758"/>
      <c r="AB48" s="758"/>
      <c r="AC48" s="758"/>
    </row>
    <row r="49" spans="1:29" ht="15.75" thickBot="1">
      <c r="A49" s="492" t="s">
        <v>2660</v>
      </c>
      <c r="B49" s="493"/>
      <c r="C49" s="1415" t="e">
        <f>R49</f>
        <v>#DIV/0!</v>
      </c>
      <c r="D49" s="1415"/>
      <c r="E49" s="1415"/>
      <c r="F49" s="1415"/>
      <c r="G49" s="1415"/>
      <c r="H49" s="1415"/>
      <c r="I49" s="1415"/>
      <c r="J49" s="1415"/>
      <c r="K49" s="784"/>
      <c r="L49" s="1142"/>
      <c r="M49" s="1143"/>
      <c r="N49" s="1130"/>
      <c r="O49" s="1143"/>
      <c r="P49" s="3218" t="str">
        <f>A49</f>
        <v>估价对象XX用房的比较价值（楼面单价，元/平方米）</v>
      </c>
      <c r="Q49" s="3219"/>
      <c r="R49" s="3220" t="e">
        <f>IF(F1="售价",ROUND(AVERAGE(R48:V48),0),ROUND(AVERAGE(R48:V48),1))</f>
        <v>#DIV/0!</v>
      </c>
      <c r="S49" s="3220"/>
      <c r="T49" s="3220"/>
      <c r="U49" s="3220"/>
      <c r="V49" s="3220"/>
      <c r="W49" s="322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5">
      <c r="A58" s="505" t="s">
        <v>2538</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2553</v>
      </c>
      <c r="B100" s="528" t="s">
        <v>2671</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C104" sqref="C104:I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3093</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342</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43599</v>
      </c>
      <c r="C3" s="400" t="s">
        <v>2634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70" t="s">
        <v>2641</v>
      </c>
      <c r="Q4" s="3271"/>
      <c r="R4" s="3274" t="s">
        <v>2637</v>
      </c>
      <c r="S4" s="3275"/>
      <c r="T4" s="3274" t="s">
        <v>2638</v>
      </c>
      <c r="U4" s="3275"/>
      <c r="V4" s="3276" t="s">
        <v>2639</v>
      </c>
      <c r="W4" s="3276"/>
      <c r="X4" s="2666"/>
      <c r="Y4" s="3274" t="s">
        <v>2641</v>
      </c>
      <c r="Z4" s="3275"/>
      <c r="AA4" s="3280" t="s">
        <v>2637</v>
      </c>
      <c r="AB4" s="3280" t="s">
        <v>2638</v>
      </c>
      <c r="AC4" s="3267" t="s">
        <v>2639</v>
      </c>
    </row>
    <row r="5" spans="1:29" ht="15">
      <c r="A5" s="404"/>
      <c r="B5" s="405"/>
      <c r="C5" s="3278" t="s">
        <v>3104</v>
      </c>
      <c r="D5" s="3256"/>
      <c r="E5" s="3281" t="s">
        <v>3168</v>
      </c>
      <c r="F5" s="3263"/>
      <c r="G5" s="3278" t="s">
        <v>3166</v>
      </c>
      <c r="H5" s="3256"/>
      <c r="I5" s="3278" t="s">
        <v>3164</v>
      </c>
      <c r="J5" s="3256"/>
      <c r="K5" s="610"/>
      <c r="L5" s="1129"/>
      <c r="M5" s="1130"/>
      <c r="N5" s="1130"/>
      <c r="O5" s="1130"/>
      <c r="P5" s="3272"/>
      <c r="Q5" s="3243"/>
      <c r="R5" s="3248"/>
      <c r="S5" s="3249"/>
      <c r="T5" s="3248"/>
      <c r="U5" s="3249"/>
      <c r="V5" s="3252"/>
      <c r="W5" s="3252"/>
      <c r="X5" s="1811"/>
      <c r="Y5" s="3248"/>
      <c r="Z5" s="3249"/>
      <c r="AA5" s="3234"/>
      <c r="AB5" s="3234"/>
      <c r="AC5" s="3268"/>
    </row>
    <row r="6" spans="1:29" ht="15.75" customHeight="1" thickBot="1">
      <c r="A6" s="406"/>
      <c r="B6" s="407"/>
      <c r="C6" s="3277" t="s">
        <v>3152</v>
      </c>
      <c r="D6" s="3254"/>
      <c r="E6" s="3277" t="s">
        <v>3172</v>
      </c>
      <c r="F6" s="3254"/>
      <c r="G6" s="3277" t="s">
        <v>3169</v>
      </c>
      <c r="H6" s="3254"/>
      <c r="I6" s="3277" t="s">
        <v>3171</v>
      </c>
      <c r="J6" s="3254"/>
      <c r="K6" s="610" t="s">
        <v>2537</v>
      </c>
      <c r="L6" s="1129"/>
      <c r="M6" s="1130"/>
      <c r="N6" s="1130"/>
      <c r="O6" s="1130"/>
      <c r="P6" s="3273"/>
      <c r="Q6" s="3245"/>
      <c r="R6" s="3248"/>
      <c r="S6" s="3249"/>
      <c r="T6" s="3250"/>
      <c r="U6" s="3251"/>
      <c r="V6" s="3252"/>
      <c r="W6" s="3252"/>
      <c r="X6" s="1811"/>
      <c r="Y6" s="3250"/>
      <c r="Z6" s="3251"/>
      <c r="AA6" s="3235"/>
      <c r="AB6" s="3235"/>
      <c r="AC6" s="3269"/>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79" t="s">
        <v>2539</v>
      </c>
      <c r="Q7" s="3259"/>
      <c r="R7" s="769" t="s">
        <v>17</v>
      </c>
      <c r="S7" s="770">
        <f t="shared" ref="S7:S15" si="0">F7</f>
        <v>100</v>
      </c>
      <c r="T7" s="769" t="s">
        <v>17</v>
      </c>
      <c r="U7" s="770">
        <f t="shared" ref="U7:U15" si="1">H7</f>
        <v>100</v>
      </c>
      <c r="V7" s="769" t="s">
        <v>17</v>
      </c>
      <c r="W7" s="770">
        <f t="shared" ref="W7:W15" si="2">J7</f>
        <v>100</v>
      </c>
      <c r="X7" s="771"/>
      <c r="Y7" s="3257" t="s">
        <v>2539</v>
      </c>
      <c r="Z7" s="3258"/>
      <c r="AA7" s="772">
        <f>D7/F7</f>
        <v>1</v>
      </c>
      <c r="AB7" s="772">
        <f>D7/H7</f>
        <v>1</v>
      </c>
      <c r="AC7" s="2667">
        <f>D7/J7</f>
        <v>1</v>
      </c>
    </row>
    <row r="8" spans="1:29" s="117" customFormat="1" ht="15.75" thickBot="1">
      <c r="A8" s="408" t="s">
        <v>2540</v>
      </c>
      <c r="B8" s="409"/>
      <c r="C8" s="414" t="s">
        <v>2642</v>
      </c>
      <c r="D8" s="411">
        <v>100</v>
      </c>
      <c r="E8" s="414" t="s">
        <v>3105</v>
      </c>
      <c r="F8" s="413">
        <f>SUMIF(62:62,E8,63:63)-SUMIF(62:62,C8,63:63)+100</f>
        <v>100</v>
      </c>
      <c r="G8" s="414" t="s">
        <v>3105</v>
      </c>
      <c r="H8" s="411">
        <f>SUMIF(62:62,G8,63:63)-SUMIF(62:62,C8,63:63)+100</f>
        <v>100</v>
      </c>
      <c r="I8" s="414" t="s">
        <v>3105</v>
      </c>
      <c r="J8" s="411">
        <f>SUMIF(62:62,I8,63:63)-SUMIF(62:62,C8,63:63)+100</f>
        <v>100</v>
      </c>
      <c r="K8" s="611"/>
      <c r="L8" s="1131"/>
      <c r="M8" s="1132"/>
      <c r="N8" s="1132"/>
      <c r="O8" s="1132"/>
      <c r="P8" s="3279" t="s">
        <v>2542</v>
      </c>
      <c r="Q8" s="3258"/>
      <c r="R8" s="769" t="s">
        <v>17</v>
      </c>
      <c r="S8" s="770">
        <f t="shared" si="0"/>
        <v>100</v>
      </c>
      <c r="T8" s="769" t="s">
        <v>17</v>
      </c>
      <c r="U8" s="770">
        <f t="shared" si="1"/>
        <v>100</v>
      </c>
      <c r="V8" s="769" t="s">
        <v>17</v>
      </c>
      <c r="W8" s="770">
        <f t="shared" si="2"/>
        <v>100</v>
      </c>
      <c r="X8" s="771"/>
      <c r="Y8" s="3257" t="s">
        <v>2542</v>
      </c>
      <c r="Z8" s="3258"/>
      <c r="AA8" s="772">
        <f t="shared" ref="AA8:AA47" si="3">D8/F8</f>
        <v>1</v>
      </c>
      <c r="AB8" s="772">
        <f t="shared" ref="AB8:AB47" si="4">D8/H8</f>
        <v>1</v>
      </c>
      <c r="AC8" s="2667">
        <f t="shared" ref="AC8:AC47" si="5">D8/J8</f>
        <v>1</v>
      </c>
    </row>
    <row r="9" spans="1:29" s="117" customFormat="1">
      <c r="A9" s="415" t="s">
        <v>2543</v>
      </c>
      <c r="B9" s="71" t="s">
        <v>2544</v>
      </c>
      <c r="C9" s="2966" t="s">
        <v>3106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2"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2667">
        <f t="shared" si="5"/>
        <v>1</v>
      </c>
    </row>
    <row r="10" spans="1:29" s="427" customFormat="1" ht="27">
      <c r="A10" s="421"/>
      <c r="B10" s="422" t="s">
        <v>2547</v>
      </c>
      <c r="C10" s="423" t="s">
        <v>3107</v>
      </c>
      <c r="D10" s="136">
        <v>100</v>
      </c>
      <c r="E10" s="423" t="s">
        <v>3107</v>
      </c>
      <c r="F10" s="136">
        <f>SUMIF(66:66,E10,67:67)-SUMIF(66:66,C10,67:67)+100</f>
        <v>100</v>
      </c>
      <c r="G10" s="423" t="s">
        <v>3107</v>
      </c>
      <c r="H10" s="136">
        <f>SUMIF(66:66,G10,67:67)-SUMIF(66:66,C10,67:67)+100</f>
        <v>100</v>
      </c>
      <c r="I10" s="423" t="s">
        <v>3107</v>
      </c>
      <c r="J10" s="136">
        <f>SUMIF(66:66,I10,67:67)-SUMIF(66:66,C10,67:67)+100</f>
        <v>100</v>
      </c>
      <c r="K10" s="612">
        <v>1</v>
      </c>
      <c r="L10" s="1134"/>
      <c r="M10" s="1135"/>
      <c r="N10" s="1135"/>
      <c r="O10" s="1135"/>
      <c r="P10" s="3232"/>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2"/>
      <c r="Q11" s="1793" t="str">
        <f t="shared" si="6"/>
        <v>容积率</v>
      </c>
      <c r="R11" s="769" t="s">
        <v>17</v>
      </c>
      <c r="S11" s="770">
        <f t="shared" si="0"/>
        <v>100</v>
      </c>
      <c r="T11" s="769" t="s">
        <v>17</v>
      </c>
      <c r="U11" s="770">
        <f t="shared" si="1"/>
        <v>100</v>
      </c>
      <c r="V11" s="769" t="s">
        <v>17</v>
      </c>
      <c r="W11" s="770">
        <f t="shared" si="2"/>
        <v>100</v>
      </c>
      <c r="X11" s="771"/>
      <c r="Y11" s="3046"/>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2"/>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2"/>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2"/>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67">
        <f t="shared" si="5"/>
        <v>1</v>
      </c>
    </row>
    <row r="15" spans="1:29" ht="121.5">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6" t="s">
        <v>3180</v>
      </c>
      <c r="F15" s="441">
        <f>SUMIF(77:77,E16,78:78)-SUMIF(77:77,C16,78:78)+100</f>
        <v>100</v>
      </c>
      <c r="G15" s="2997" t="s">
        <v>3181</v>
      </c>
      <c r="H15" s="441">
        <f>SUMIF(77:77,G16,78:78)-SUMIF(77:77,C16,78:78)+100</f>
        <v>100</v>
      </c>
      <c r="I15" s="2997" t="s">
        <v>3182</v>
      </c>
      <c r="J15" s="441">
        <f>SUMIF(77:77,I16,78:78)-SUMIF(77:77,C16,78:78)+100</f>
        <v>100</v>
      </c>
      <c r="K15" s="614">
        <v>2</v>
      </c>
      <c r="L15" s="1139"/>
      <c r="M15" s="1130"/>
      <c r="N15" s="1130"/>
      <c r="O15" s="1130"/>
      <c r="P15" s="3230" t="s">
        <v>2550</v>
      </c>
      <c r="Q15" s="1808" t="str">
        <f t="shared" si="6"/>
        <v>办公集聚程度</v>
      </c>
      <c r="R15" s="773" t="s">
        <v>17</v>
      </c>
      <c r="S15" s="774">
        <f t="shared" si="0"/>
        <v>100</v>
      </c>
      <c r="T15" s="773" t="s">
        <v>17</v>
      </c>
      <c r="U15" s="774">
        <f t="shared" si="1"/>
        <v>100</v>
      </c>
      <c r="V15" s="773" t="s">
        <v>17</v>
      </c>
      <c r="W15" s="774">
        <f t="shared" si="2"/>
        <v>100</v>
      </c>
      <c r="X15" s="1811"/>
      <c r="Y15" s="3223" t="s">
        <v>2550</v>
      </c>
      <c r="Z15" s="1812" t="str">
        <f t="shared" si="7"/>
        <v>办公集聚程度</v>
      </c>
      <c r="AA15" s="1809">
        <f t="shared" si="3"/>
        <v>1</v>
      </c>
      <c r="AB15" s="1809">
        <f t="shared" si="4"/>
        <v>1</v>
      </c>
      <c r="AC15" s="2670">
        <f t="shared" si="5"/>
        <v>1</v>
      </c>
    </row>
    <row r="16" spans="1:29" ht="15">
      <c r="A16" s="428"/>
      <c r="B16" s="630"/>
      <c r="C16" s="2607" t="s">
        <v>3101</v>
      </c>
      <c r="D16" s="448"/>
      <c r="E16" s="447" t="s">
        <v>3101</v>
      </c>
      <c r="F16" s="448"/>
      <c r="G16" s="2607" t="s">
        <v>3101</v>
      </c>
      <c r="H16" s="450"/>
      <c r="I16" s="447" t="s">
        <v>3101</v>
      </c>
      <c r="J16" s="448"/>
      <c r="K16" s="615"/>
      <c r="L16" s="1139"/>
      <c r="M16" s="1130"/>
      <c r="N16" s="1130"/>
      <c r="O16" s="1130"/>
      <c r="P16" s="3231"/>
      <c r="Q16" s="1808"/>
      <c r="R16" s="773"/>
      <c r="S16" s="774"/>
      <c r="T16" s="773"/>
      <c r="U16" s="774"/>
      <c r="V16" s="773"/>
      <c r="W16" s="774"/>
      <c r="X16" s="1811"/>
      <c r="Y16" s="3224"/>
      <c r="Z16" s="1812"/>
      <c r="AA16" s="1809">
        <v>1</v>
      </c>
      <c r="AB16" s="1809">
        <v>1</v>
      </c>
      <c r="AC16" s="2670">
        <v>1</v>
      </c>
    </row>
    <row r="17" spans="1:29" ht="231.75">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3183</v>
      </c>
      <c r="F17" s="450">
        <f>SUMIF(79:79,E18,80:80)-SUMIF(79:79,C18,80:80)+100</f>
        <v>100</v>
      </c>
      <c r="G17" s="454" t="s">
        <v>3183</v>
      </c>
      <c r="H17" s="455">
        <f>SUMIF(79:79,G18,80:80)-SUMIF(79:79,C18,80:80)+100</f>
        <v>100</v>
      </c>
      <c r="I17" s="454" t="s">
        <v>3183</v>
      </c>
      <c r="J17" s="455">
        <f>SUMIF(79:79,I18,80:80)-SUMIF(79:79,C18,80:80)+100</f>
        <v>100</v>
      </c>
      <c r="K17" s="614">
        <v>2</v>
      </c>
      <c r="L17" s="1139"/>
      <c r="M17" s="1130"/>
      <c r="N17" s="1130"/>
      <c r="O17" s="1130"/>
      <c r="P17" s="3231"/>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2670">
        <f t="shared" si="5"/>
        <v>1</v>
      </c>
    </row>
    <row r="18" spans="1:29" ht="15">
      <c r="A18" s="428"/>
      <c r="B18" s="632"/>
      <c r="C18" s="2672" t="s">
        <v>3101</v>
      </c>
      <c r="D18" s="450"/>
      <c r="E18" s="2672" t="s">
        <v>3101</v>
      </c>
      <c r="F18" s="450"/>
      <c r="G18" s="2672" t="s">
        <v>3101</v>
      </c>
      <c r="H18" s="448"/>
      <c r="I18" s="2672" t="s">
        <v>3101</v>
      </c>
      <c r="J18" s="448"/>
      <c r="K18" s="615"/>
      <c r="L18" s="1139"/>
      <c r="M18" s="1130"/>
      <c r="N18" s="1130"/>
      <c r="O18" s="1130"/>
      <c r="P18" s="3231"/>
      <c r="Q18" s="1808"/>
      <c r="R18" s="773"/>
      <c r="S18" s="774"/>
      <c r="T18" s="773"/>
      <c r="U18" s="774"/>
      <c r="V18" s="773"/>
      <c r="W18" s="774"/>
      <c r="X18" s="1811"/>
      <c r="Y18" s="3224"/>
      <c r="Z18" s="1812"/>
      <c r="AA18" s="1809">
        <v>1</v>
      </c>
      <c r="AB18" s="1809">
        <v>1</v>
      </c>
      <c r="AC18" s="2670">
        <v>1</v>
      </c>
    </row>
    <row r="19" spans="1:29" ht="229.5">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9" t="s">
        <v>3185</v>
      </c>
      <c r="F19" s="455">
        <f>SUMIF(81:81,E20,82:82)-SUMIF(81:81,C20,82:82)+100</f>
        <v>100</v>
      </c>
      <c r="G19" s="2998" t="s">
        <v>3184</v>
      </c>
      <c r="H19" s="450">
        <f>SUMIF(81:81,G20,82:82)-SUMIF(81:81,C20,82:82)+100</f>
        <v>100</v>
      </c>
      <c r="I19" s="2998" t="s">
        <v>3184</v>
      </c>
      <c r="J19" s="450">
        <f>SUMIF(81:81,I20,82:82)-SUMIF(81:81,C20,82:82)+100</f>
        <v>100</v>
      </c>
      <c r="K19" s="614">
        <v>2</v>
      </c>
      <c r="L19" s="1139"/>
      <c r="M19" s="1130"/>
      <c r="N19" s="1130"/>
      <c r="O19" s="1130"/>
      <c r="P19" s="3231"/>
      <c r="Q19" s="1808" t="str">
        <f>B19</f>
        <v>公共配套设施</v>
      </c>
      <c r="R19" s="773" t="s">
        <v>17</v>
      </c>
      <c r="S19" s="774">
        <f>F19</f>
        <v>100</v>
      </c>
      <c r="T19" s="773" t="s">
        <v>17</v>
      </c>
      <c r="U19" s="774">
        <f>H19</f>
        <v>100</v>
      </c>
      <c r="V19" s="773" t="s">
        <v>17</v>
      </c>
      <c r="W19" s="774">
        <f>J19</f>
        <v>100</v>
      </c>
      <c r="X19" s="1811"/>
      <c r="Y19" s="3224"/>
      <c r="Z19" s="1812" t="str">
        <f>Q19</f>
        <v>公共配套设施</v>
      </c>
      <c r="AA19" s="1809">
        <f t="shared" si="3"/>
        <v>1</v>
      </c>
      <c r="AB19" s="1809">
        <f t="shared" si="4"/>
        <v>1</v>
      </c>
      <c r="AC19" s="2670">
        <f t="shared" si="5"/>
        <v>1</v>
      </c>
    </row>
    <row r="20" spans="1:29" ht="15">
      <c r="A20" s="428"/>
      <c r="B20" s="632"/>
      <c r="C20" s="2607" t="s">
        <v>3101</v>
      </c>
      <c r="D20" s="448"/>
      <c r="E20" s="2607" t="s">
        <v>3101</v>
      </c>
      <c r="F20" s="448"/>
      <c r="G20" s="2607" t="s">
        <v>3101</v>
      </c>
      <c r="H20" s="448"/>
      <c r="I20" s="2607" t="s">
        <v>3101</v>
      </c>
      <c r="J20" s="448"/>
      <c r="K20" s="615"/>
      <c r="L20" s="1139"/>
      <c r="M20" s="1130"/>
      <c r="N20" s="1130"/>
      <c r="O20" s="1130"/>
      <c r="P20" s="3231"/>
      <c r="Q20" s="1808"/>
      <c r="R20" s="773"/>
      <c r="S20" s="774"/>
      <c r="T20" s="773"/>
      <c r="U20" s="774"/>
      <c r="V20" s="773"/>
      <c r="W20" s="774"/>
      <c r="X20" s="1811"/>
      <c r="Y20" s="3224"/>
      <c r="Z20" s="1812"/>
      <c r="AA20" s="1809">
        <v>1</v>
      </c>
      <c r="AB20" s="1809">
        <v>1</v>
      </c>
      <c r="AC20" s="2670">
        <v>1</v>
      </c>
    </row>
    <row r="21" spans="1:29" ht="28.5">
      <c r="A21" s="428"/>
      <c r="B21" s="633" t="s">
        <v>2679</v>
      </c>
      <c r="C21" s="2671" t="str">
        <f>估价对象房地状况!C8</f>
        <v>区域基础设施水平为七通</v>
      </c>
      <c r="D21" s="450">
        <v>100</v>
      </c>
      <c r="E21" s="2999" t="s">
        <v>3178</v>
      </c>
      <c r="F21" s="455">
        <f>SUMIF(83:83,E22,84:84)-SUMIF(83:83,C22,84:84)+100</f>
        <v>100</v>
      </c>
      <c r="G21" s="2998" t="s">
        <v>3178</v>
      </c>
      <c r="H21" s="450">
        <f>SUMIF(83:83,G22,84:84)-SUMIF(83:83,C22,84:84)+100</f>
        <v>100</v>
      </c>
      <c r="I21" s="2998" t="s">
        <v>3178</v>
      </c>
      <c r="J21" s="450">
        <f>SUMIF(83:83,I22,84:84)-SUMIF(83:83,C22,84:84)+100</f>
        <v>100</v>
      </c>
      <c r="K21" s="614">
        <v>2</v>
      </c>
      <c r="L21" s="1139"/>
      <c r="M21" s="1130"/>
      <c r="N21" s="1130"/>
      <c r="O21" s="1130"/>
      <c r="P21" s="3231"/>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2670">
        <f t="shared" ref="AC21" si="10">D21/J21</f>
        <v>1</v>
      </c>
    </row>
    <row r="22" spans="1:29" ht="15">
      <c r="A22" s="428"/>
      <c r="B22" s="633"/>
      <c r="C22" s="2672" t="s">
        <v>3134</v>
      </c>
      <c r="D22" s="448"/>
      <c r="E22" s="2672" t="s">
        <v>3134</v>
      </c>
      <c r="F22" s="448"/>
      <c r="G22" s="2672" t="s">
        <v>3134</v>
      </c>
      <c r="H22" s="448"/>
      <c r="I22" s="2672" t="s">
        <v>3134</v>
      </c>
      <c r="J22" s="448"/>
      <c r="K22" s="1381"/>
      <c r="L22" s="1139"/>
      <c r="M22" s="1130"/>
      <c r="N22" s="1130"/>
      <c r="O22" s="1130"/>
      <c r="P22" s="3231"/>
      <c r="Q22" s="1808"/>
      <c r="R22" s="773"/>
      <c r="S22" s="774"/>
      <c r="T22" s="773"/>
      <c r="U22" s="774"/>
      <c r="V22" s="773"/>
      <c r="W22" s="774"/>
      <c r="X22" s="1811"/>
      <c r="Y22" s="3224"/>
      <c r="Z22" s="1812"/>
      <c r="AA22" s="1809">
        <v>1</v>
      </c>
      <c r="AB22" s="1809">
        <v>1</v>
      </c>
      <c r="AC22" s="2670">
        <v>1</v>
      </c>
    </row>
    <row r="23" spans="1:29" ht="189">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3000" t="s">
        <v>3188</v>
      </c>
      <c r="F23" s="450">
        <f>SUMIF(85:85,E24,86:86)-SUMIF(85:85,C24,86:86)+100</f>
        <v>100</v>
      </c>
      <c r="G23" s="3001" t="s">
        <v>3187</v>
      </c>
      <c r="H23" s="450">
        <f>SUMIF(85:85,G24,86:86)-SUMIF(85:85,C24,86:86)+100</f>
        <v>100</v>
      </c>
      <c r="I23" s="3001" t="s">
        <v>3187</v>
      </c>
      <c r="J23" s="450">
        <f>SUMIF(85:85,I24,86:86)-SUMIF(85:85,C24,86:86)+100</f>
        <v>100</v>
      </c>
      <c r="K23" s="614">
        <v>2</v>
      </c>
      <c r="L23" s="1139"/>
      <c r="M23" s="1130"/>
      <c r="N23" s="1130"/>
      <c r="O23" s="1130"/>
      <c r="P23" s="3231"/>
      <c r="Q23" s="1808" t="str">
        <f>B23</f>
        <v>环境质量</v>
      </c>
      <c r="R23" s="773" t="s">
        <v>17</v>
      </c>
      <c r="S23" s="774">
        <f>F23</f>
        <v>100</v>
      </c>
      <c r="T23" s="773" t="s">
        <v>17</v>
      </c>
      <c r="U23" s="774">
        <f>H23</f>
        <v>100</v>
      </c>
      <c r="V23" s="773" t="s">
        <v>17</v>
      </c>
      <c r="W23" s="774">
        <f>J23</f>
        <v>100</v>
      </c>
      <c r="X23" s="1811"/>
      <c r="Y23" s="3224"/>
      <c r="Z23" s="1812" t="str">
        <f>Q23</f>
        <v>环境质量</v>
      </c>
      <c r="AA23" s="1809">
        <f t="shared" si="3"/>
        <v>1</v>
      </c>
      <c r="AB23" s="1809">
        <f t="shared" si="4"/>
        <v>1</v>
      </c>
      <c r="AC23" s="2670">
        <f t="shared" si="5"/>
        <v>1</v>
      </c>
    </row>
    <row r="24" spans="1:29" ht="15">
      <c r="A24" s="428"/>
      <c r="B24" s="633"/>
      <c r="C24" s="2607" t="s">
        <v>3101</v>
      </c>
      <c r="D24" s="448"/>
      <c r="E24" s="2607" t="s">
        <v>3101</v>
      </c>
      <c r="F24" s="448"/>
      <c r="G24" s="2607" t="s">
        <v>3101</v>
      </c>
      <c r="H24" s="448"/>
      <c r="I24" s="2607" t="s">
        <v>3101</v>
      </c>
      <c r="J24" s="448"/>
      <c r="K24" s="615"/>
      <c r="L24" s="1139"/>
      <c r="M24" s="1130"/>
      <c r="N24" s="1130"/>
      <c r="O24" s="1130"/>
      <c r="P24" s="3231"/>
      <c r="Q24" s="1808"/>
      <c r="R24" s="773"/>
      <c r="S24" s="774"/>
      <c r="T24" s="773"/>
      <c r="U24" s="774"/>
      <c r="V24" s="773"/>
      <c r="W24" s="774"/>
      <c r="X24" s="1811"/>
      <c r="Y24" s="3224"/>
      <c r="Z24" s="1812"/>
      <c r="AA24" s="1809">
        <v>1</v>
      </c>
      <c r="AB24" s="1809">
        <v>1</v>
      </c>
      <c r="AC24" s="2670">
        <v>1</v>
      </c>
    </row>
    <row r="25" spans="1:29" ht="27">
      <c r="A25" s="404"/>
      <c r="B25" s="631" t="s">
        <v>2681</v>
      </c>
      <c r="C25" s="2970" t="s">
        <v>3143</v>
      </c>
      <c r="D25" s="435">
        <v>100</v>
      </c>
      <c r="E25" s="2970" t="s">
        <v>3175</v>
      </c>
      <c r="F25" s="435">
        <f>SUMIF(87:87,E26,88:88)-SUMIF(87:87,C26,88:88)+100</f>
        <v>96</v>
      </c>
      <c r="G25" s="2970" t="s">
        <v>3165</v>
      </c>
      <c r="H25" s="435">
        <f>SUMIF(87:87,G26,88:88)-SUMIF(87:87,C26,88:88)+100</f>
        <v>96</v>
      </c>
      <c r="I25" s="2970" t="s">
        <v>3165</v>
      </c>
      <c r="J25" s="435">
        <f>SUMIF(87:87,I26,88:88)-SUMIF(87:87,C26,88:88)+100</f>
        <v>96</v>
      </c>
      <c r="K25" s="614">
        <v>2</v>
      </c>
      <c r="L25" s="1139"/>
      <c r="M25" s="1130"/>
      <c r="N25" s="1130"/>
      <c r="O25" s="1130"/>
      <c r="P25" s="3231"/>
      <c r="Q25" s="1808" t="str">
        <f>B25</f>
        <v>毗邻道路的类型与等级</v>
      </c>
      <c r="R25" s="773" t="s">
        <v>17</v>
      </c>
      <c r="S25" s="774">
        <f>F25</f>
        <v>96</v>
      </c>
      <c r="T25" s="773" t="s">
        <v>17</v>
      </c>
      <c r="U25" s="774">
        <f>H25</f>
        <v>96</v>
      </c>
      <c r="V25" s="773" t="s">
        <v>17</v>
      </c>
      <c r="W25" s="774">
        <f>J25</f>
        <v>96</v>
      </c>
      <c r="X25" s="1811"/>
      <c r="Y25" s="3224"/>
      <c r="Z25" s="1812" t="str">
        <f>Q25</f>
        <v>毗邻道路的类型与等级</v>
      </c>
      <c r="AA25" s="1809">
        <f t="shared" si="3"/>
        <v>1.0416666666666667</v>
      </c>
      <c r="AB25" s="1809">
        <f t="shared" si="4"/>
        <v>1.0416666666666667</v>
      </c>
      <c r="AC25" s="2670">
        <f t="shared" si="5"/>
        <v>1.0416666666666667</v>
      </c>
    </row>
    <row r="26" spans="1:29" ht="15">
      <c r="A26" s="404"/>
      <c r="B26" s="632"/>
      <c r="C26" s="634" t="s">
        <v>3109</v>
      </c>
      <c r="D26" s="435"/>
      <c r="E26" s="616" t="s">
        <v>3112</v>
      </c>
      <c r="F26" s="435"/>
      <c r="G26" s="634" t="s">
        <v>3112</v>
      </c>
      <c r="H26" s="435"/>
      <c r="I26" s="634" t="s">
        <v>3112</v>
      </c>
      <c r="J26" s="435"/>
      <c r="K26" s="615"/>
      <c r="L26" s="1139"/>
      <c r="M26" s="1130"/>
      <c r="N26" s="1130"/>
      <c r="O26" s="1130"/>
      <c r="P26" s="3231"/>
      <c r="Q26" s="1808"/>
      <c r="R26" s="773"/>
      <c r="S26" s="774"/>
      <c r="T26" s="773"/>
      <c r="U26" s="774"/>
      <c r="V26" s="773"/>
      <c r="W26" s="774"/>
      <c r="X26" s="1811"/>
      <c r="Y26" s="3224"/>
      <c r="Z26" s="1812"/>
      <c r="AA26" s="1809">
        <v>1</v>
      </c>
      <c r="AB26" s="1809">
        <v>1</v>
      </c>
      <c r="AC26" s="2670">
        <v>1</v>
      </c>
    </row>
    <row r="27" spans="1:29" ht="15">
      <c r="A27" s="428"/>
      <c r="B27" s="632" t="s">
        <v>2649</v>
      </c>
      <c r="C27" s="634" t="s">
        <v>3085</v>
      </c>
      <c r="D27" s="435">
        <v>100</v>
      </c>
      <c r="E27" s="616" t="s">
        <v>3115</v>
      </c>
      <c r="F27" s="435">
        <f>SUMIF(89:89,E27,90:90)-SUMIF(89:89,C27,90:90)+100</f>
        <v>106</v>
      </c>
      <c r="G27" s="634" t="s">
        <v>3085</v>
      </c>
      <c r="H27" s="435">
        <f>SUMIF(89:89,G27,90:90)-SUMIF(89:89,C27,90:90)+100</f>
        <v>100</v>
      </c>
      <c r="I27" s="616" t="s">
        <v>3117</v>
      </c>
      <c r="J27" s="435">
        <f>SUMIF(89:89,I27,90:90)-SUMIF(89:89,C27,90:90)+100</f>
        <v>103</v>
      </c>
      <c r="K27" s="612">
        <v>3</v>
      </c>
      <c r="L27" s="1139"/>
      <c r="M27" s="1130"/>
      <c r="N27" s="1130"/>
      <c r="O27" s="1130"/>
      <c r="P27" s="3231"/>
      <c r="Q27" s="1808" t="str">
        <f t="shared" ref="Q27:Q47" si="11">B27</f>
        <v>楼层</v>
      </c>
      <c r="R27" s="773" t="s">
        <v>17</v>
      </c>
      <c r="S27" s="774">
        <f>F27</f>
        <v>106</v>
      </c>
      <c r="T27" s="773" t="s">
        <v>17</v>
      </c>
      <c r="U27" s="774">
        <f>H27</f>
        <v>100</v>
      </c>
      <c r="V27" s="773" t="s">
        <v>17</v>
      </c>
      <c r="W27" s="774">
        <f>J27</f>
        <v>103</v>
      </c>
      <c r="X27" s="1811"/>
      <c r="Y27" s="3224"/>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31"/>
      <c r="Q28" s="1793" t="str">
        <f t="shared" si="11"/>
        <v>朝向</v>
      </c>
      <c r="R28" s="769" t="s">
        <v>17</v>
      </c>
      <c r="S28" s="770">
        <f>F28</f>
        <v>100</v>
      </c>
      <c r="T28" s="769" t="s">
        <v>17</v>
      </c>
      <c r="U28" s="770">
        <f>H28</f>
        <v>100</v>
      </c>
      <c r="V28" s="769" t="s">
        <v>17</v>
      </c>
      <c r="W28" s="770">
        <f>J28</f>
        <v>100</v>
      </c>
      <c r="X28" s="771"/>
      <c r="Y28" s="3224"/>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31"/>
      <c r="Q29" s="1808">
        <f t="shared" si="11"/>
        <v>111</v>
      </c>
      <c r="R29" s="773" t="s">
        <v>17</v>
      </c>
      <c r="S29" s="774">
        <f t="shared" ref="S29:S47" si="12">F29</f>
        <v>100</v>
      </c>
      <c r="T29" s="773" t="s">
        <v>17</v>
      </c>
      <c r="U29" s="774">
        <f t="shared" ref="U29:U47" si="13">H29</f>
        <v>100</v>
      </c>
      <c r="V29" s="773" t="s">
        <v>17</v>
      </c>
      <c r="W29" s="774">
        <f t="shared" ref="W29:W47" si="14">J29</f>
        <v>100</v>
      </c>
      <c r="X29" s="1811"/>
      <c r="Y29" s="3224"/>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31"/>
      <c r="Q30" s="1808">
        <f t="shared" si="11"/>
        <v>111</v>
      </c>
      <c r="R30" s="773" t="s">
        <v>17</v>
      </c>
      <c r="S30" s="774">
        <f t="shared" si="12"/>
        <v>100</v>
      </c>
      <c r="T30" s="773" t="s">
        <v>17</v>
      </c>
      <c r="U30" s="774">
        <f t="shared" si="13"/>
        <v>100</v>
      </c>
      <c r="V30" s="773" t="s">
        <v>17</v>
      </c>
      <c r="W30" s="774">
        <f t="shared" si="14"/>
        <v>100</v>
      </c>
      <c r="X30" s="1811"/>
      <c r="Y30" s="3224"/>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31"/>
      <c r="Q31" s="1808">
        <f t="shared" si="11"/>
        <v>111</v>
      </c>
      <c r="R31" s="773" t="s">
        <v>17</v>
      </c>
      <c r="S31" s="774">
        <f t="shared" si="12"/>
        <v>100</v>
      </c>
      <c r="T31" s="773" t="s">
        <v>17</v>
      </c>
      <c r="U31" s="774">
        <f t="shared" si="13"/>
        <v>100</v>
      </c>
      <c r="V31" s="773" t="s">
        <v>17</v>
      </c>
      <c r="W31" s="774">
        <f t="shared" si="14"/>
        <v>100</v>
      </c>
      <c r="X31" s="1811"/>
      <c r="Y31" s="3224"/>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31"/>
      <c r="Q32" s="1808">
        <f t="shared" si="11"/>
        <v>111</v>
      </c>
      <c r="R32" s="773" t="s">
        <v>17</v>
      </c>
      <c r="S32" s="774">
        <f t="shared" si="12"/>
        <v>100</v>
      </c>
      <c r="T32" s="773" t="s">
        <v>17</v>
      </c>
      <c r="U32" s="774">
        <f t="shared" si="13"/>
        <v>100</v>
      </c>
      <c r="V32" s="773" t="s">
        <v>17</v>
      </c>
      <c r="W32" s="774">
        <f t="shared" si="14"/>
        <v>100</v>
      </c>
      <c r="X32" s="1811"/>
      <c r="Y32" s="3224"/>
      <c r="Z32" s="1812">
        <f t="shared" si="15"/>
        <v>111</v>
      </c>
      <c r="AA32" s="1809">
        <f t="shared" si="3"/>
        <v>1</v>
      </c>
      <c r="AB32" s="1809">
        <f t="shared" si="4"/>
        <v>1</v>
      </c>
      <c r="AC32" s="2670">
        <f t="shared" si="5"/>
        <v>1</v>
      </c>
    </row>
    <row r="33" spans="1:29" ht="15">
      <c r="A33" s="440" t="s">
        <v>2553</v>
      </c>
      <c r="B33" s="71" t="s">
        <v>2683</v>
      </c>
      <c r="C33" s="2675" t="s">
        <v>3120</v>
      </c>
      <c r="D33" s="467">
        <v>100</v>
      </c>
      <c r="E33" s="2675" t="s">
        <v>3120</v>
      </c>
      <c r="F33" s="461">
        <f>SUMIF(101:101,E33,102:102)-SUMIF(101:101,C33,102:102)+100</f>
        <v>100</v>
      </c>
      <c r="G33" s="2675" t="s">
        <v>3120</v>
      </c>
      <c r="H33" s="435">
        <f>SUMIF(101:101,G33,102:102)-SUMIF(101:101,C33,102:102)+100</f>
        <v>100</v>
      </c>
      <c r="I33" s="2675" t="s">
        <v>3120</v>
      </c>
      <c r="J33" s="467">
        <f>SUMIF(101:101,I33,102:102)-SUMIF(101:101,C33,102:102)+100</f>
        <v>100</v>
      </c>
      <c r="K33" s="612">
        <v>2</v>
      </c>
      <c r="L33" s="1139"/>
      <c r="M33" s="1130"/>
      <c r="N33" s="1130"/>
      <c r="O33" s="1130"/>
      <c r="P33" s="3225" t="s">
        <v>2555</v>
      </c>
      <c r="Q33" s="1808" t="str">
        <f t="shared" si="11"/>
        <v>建筑类型</v>
      </c>
      <c r="R33" s="773" t="s">
        <v>17</v>
      </c>
      <c r="S33" s="774">
        <f t="shared" si="12"/>
        <v>100</v>
      </c>
      <c r="T33" s="773" t="s">
        <v>17</v>
      </c>
      <c r="U33" s="774">
        <f t="shared" si="13"/>
        <v>100</v>
      </c>
      <c r="V33" s="773" t="s">
        <v>17</v>
      </c>
      <c r="W33" s="774">
        <f t="shared" si="14"/>
        <v>100</v>
      </c>
      <c r="X33" s="1811"/>
      <c r="Y33" s="3228" t="s">
        <v>2555</v>
      </c>
      <c r="Z33" s="1812" t="str">
        <f t="shared" si="15"/>
        <v>建筑类型</v>
      </c>
      <c r="AA33" s="1809">
        <f t="shared" si="3"/>
        <v>1</v>
      </c>
      <c r="AB33" s="1809">
        <f t="shared" si="4"/>
        <v>1</v>
      </c>
      <c r="AC33" s="2670">
        <f t="shared" si="5"/>
        <v>1</v>
      </c>
    </row>
    <row r="34" spans="1:29" s="471" customFormat="1" ht="15">
      <c r="A34" s="468"/>
      <c r="B34" s="3339" t="s">
        <v>2556</v>
      </c>
      <c r="C34" s="469">
        <f>'数据-汇总表'!F19</f>
        <v>78.53</v>
      </c>
      <c r="D34" s="136">
        <v>100</v>
      </c>
      <c r="E34" s="430">
        <v>2130</v>
      </c>
      <c r="F34" s="425">
        <f>LOOKUP(E34,104:104,105:105)-LOOKUP(C34,104:104,105:105)+100</f>
        <v>96</v>
      </c>
      <c r="G34" s="429">
        <v>206</v>
      </c>
      <c r="H34" s="136">
        <f>LOOKUP(G34,104:104,105:105)-LOOKUP(C34,104:104,105:105)+100</f>
        <v>102</v>
      </c>
      <c r="I34" s="429">
        <v>225</v>
      </c>
      <c r="J34" s="136">
        <f>LOOKUP(I34,104:104,105:105)-LOOKUP(C34,104:104,105:105)+100</f>
        <v>102</v>
      </c>
      <c r="K34" s="613"/>
      <c r="L34" s="1137"/>
      <c r="M34" s="1140"/>
      <c r="N34" s="1140"/>
      <c r="O34" s="1140"/>
      <c r="P34" s="3226"/>
      <c r="Q34" s="775" t="str">
        <f t="shared" si="11"/>
        <v>项目建筑规模</v>
      </c>
      <c r="R34" s="776" t="s">
        <v>17</v>
      </c>
      <c r="S34" s="777">
        <f t="shared" si="12"/>
        <v>96</v>
      </c>
      <c r="T34" s="776" t="s">
        <v>17</v>
      </c>
      <c r="U34" s="777">
        <f t="shared" si="13"/>
        <v>102</v>
      </c>
      <c r="V34" s="776" t="s">
        <v>17</v>
      </c>
      <c r="W34" s="777">
        <f t="shared" si="14"/>
        <v>102</v>
      </c>
      <c r="X34" s="778"/>
      <c r="Y34" s="3228"/>
      <c r="Z34" s="779" t="str">
        <f t="shared" si="15"/>
        <v>项目建筑规模</v>
      </c>
      <c r="AA34" s="1809">
        <f t="shared" si="3"/>
        <v>1.0416666666666667</v>
      </c>
      <c r="AB34" s="1809">
        <f t="shared" si="4"/>
        <v>0.98039215686274506</v>
      </c>
      <c r="AC34" s="2670">
        <f t="shared" si="5"/>
        <v>0.98039215686274506</v>
      </c>
    </row>
    <row r="35" spans="1:29" ht="15">
      <c r="A35" s="472"/>
      <c r="B35" s="422" t="s">
        <v>2557</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39"/>
      <c r="M35" s="1130"/>
      <c r="N35" s="1130"/>
      <c r="O35" s="1130"/>
      <c r="P35" s="3226"/>
      <c r="Q35" s="1808" t="str">
        <f t="shared" si="11"/>
        <v>建筑结构</v>
      </c>
      <c r="R35" s="773" t="s">
        <v>17</v>
      </c>
      <c r="S35" s="774">
        <f t="shared" si="12"/>
        <v>100</v>
      </c>
      <c r="T35" s="773" t="s">
        <v>17</v>
      </c>
      <c r="U35" s="774">
        <f t="shared" si="13"/>
        <v>100</v>
      </c>
      <c r="V35" s="773" t="s">
        <v>17</v>
      </c>
      <c r="W35" s="774">
        <f t="shared" si="14"/>
        <v>100</v>
      </c>
      <c r="X35" s="1811"/>
      <c r="Y35" s="3228"/>
      <c r="Z35" s="1812" t="str">
        <f t="shared" si="15"/>
        <v>建筑结构</v>
      </c>
      <c r="AA35" s="1809">
        <f t="shared" si="3"/>
        <v>1</v>
      </c>
      <c r="AB35" s="1809">
        <f t="shared" si="4"/>
        <v>1</v>
      </c>
      <c r="AC35" s="2670">
        <f t="shared" si="5"/>
        <v>1</v>
      </c>
    </row>
    <row r="36" spans="1:29" ht="15">
      <c r="A36" s="472"/>
      <c r="B36" s="422" t="s">
        <v>2651</v>
      </c>
      <c r="C36" s="460" t="s">
        <v>3179</v>
      </c>
      <c r="D36" s="435">
        <v>100</v>
      </c>
      <c r="E36" s="460" t="s">
        <v>3179</v>
      </c>
      <c r="F36" s="461">
        <f>SUMIF(108:108,E36,109:109)-SUMIF(108:108,C36,109:109)+100</f>
        <v>100</v>
      </c>
      <c r="G36" s="460" t="s">
        <v>3179</v>
      </c>
      <c r="H36" s="435">
        <f>SUMIF(108:108,G36,109:109)-SUMIF(108:108,C36,109:109)+100</f>
        <v>100</v>
      </c>
      <c r="I36" s="460" t="s">
        <v>3179</v>
      </c>
      <c r="J36" s="435">
        <f>SUMIF(108:108,I36,109:109)-SUMIF(108:108,C36,109:109)+100</f>
        <v>100</v>
      </c>
      <c r="K36" s="612">
        <v>2</v>
      </c>
      <c r="L36" s="1139"/>
      <c r="M36" s="1130"/>
      <c r="N36" s="1130"/>
      <c r="O36" s="1130"/>
      <c r="P36" s="3226"/>
      <c r="Q36" s="1808" t="str">
        <f t="shared" si="11"/>
        <v>公共部分装修</v>
      </c>
      <c r="R36" s="773" t="s">
        <v>17</v>
      </c>
      <c r="S36" s="774">
        <f t="shared" si="12"/>
        <v>100</v>
      </c>
      <c r="T36" s="773" t="s">
        <v>17</v>
      </c>
      <c r="U36" s="774">
        <f t="shared" si="13"/>
        <v>100</v>
      </c>
      <c r="V36" s="773" t="s">
        <v>17</v>
      </c>
      <c r="W36" s="774">
        <f t="shared" si="14"/>
        <v>100</v>
      </c>
      <c r="X36" s="1811"/>
      <c r="Y36" s="3228"/>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26"/>
      <c r="Q37" s="1808" t="str">
        <f t="shared" si="11"/>
        <v>成新度</v>
      </c>
      <c r="R37" s="773" t="s">
        <v>17</v>
      </c>
      <c r="S37" s="774">
        <f t="shared" si="12"/>
        <v>101</v>
      </c>
      <c r="T37" s="773" t="s">
        <v>17</v>
      </c>
      <c r="U37" s="774">
        <f t="shared" si="13"/>
        <v>100</v>
      </c>
      <c r="V37" s="773" t="s">
        <v>17</v>
      </c>
      <c r="W37" s="774">
        <f t="shared" si="14"/>
        <v>101</v>
      </c>
      <c r="X37" s="1811"/>
      <c r="Y37" s="3228"/>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3129</v>
      </c>
      <c r="D38" s="136">
        <v>100</v>
      </c>
      <c r="E38" s="460" t="s">
        <v>3129</v>
      </c>
      <c r="F38" s="461">
        <f>SUMIF(113:113,E38,114:114)-SUMIF(113:113,C38,114:114)+100</f>
        <v>100</v>
      </c>
      <c r="G38" s="460" t="s">
        <v>3129</v>
      </c>
      <c r="H38" s="435">
        <f>SUMIF(113:113,G38,114:114)-SUMIF(113:113,C38,114:114)+100</f>
        <v>100</v>
      </c>
      <c r="I38" s="460" t="s">
        <v>3129</v>
      </c>
      <c r="J38" s="435">
        <f>SUMIF(113:113,I38,114:114)-SUMIF(113:113,C38,114:114)+100</f>
        <v>100</v>
      </c>
      <c r="K38" s="612">
        <v>5</v>
      </c>
      <c r="L38" s="1131"/>
      <c r="M38" s="1132"/>
      <c r="N38" s="1132"/>
      <c r="O38" s="1132"/>
      <c r="P38" s="3226"/>
      <c r="Q38" s="1793" t="str">
        <f t="shared" si="11"/>
        <v>写字楼等级</v>
      </c>
      <c r="R38" s="769" t="s">
        <v>17</v>
      </c>
      <c r="S38" s="770">
        <f t="shared" si="12"/>
        <v>100</v>
      </c>
      <c r="T38" s="769" t="s">
        <v>17</v>
      </c>
      <c r="U38" s="770">
        <f t="shared" si="13"/>
        <v>100</v>
      </c>
      <c r="V38" s="769" t="s">
        <v>17</v>
      </c>
      <c r="W38" s="770">
        <f t="shared" si="14"/>
        <v>100</v>
      </c>
      <c r="X38" s="771"/>
      <c r="Y38" s="3228"/>
      <c r="Z38" s="55" t="str">
        <f t="shared" si="15"/>
        <v>写字楼等级</v>
      </c>
      <c r="AA38" s="772">
        <f t="shared" si="3"/>
        <v>1</v>
      </c>
      <c r="AB38" s="772">
        <f t="shared" si="4"/>
        <v>1</v>
      </c>
      <c r="AC38" s="2667">
        <f t="shared" si="5"/>
        <v>1</v>
      </c>
    </row>
    <row r="39" spans="1:29" ht="15">
      <c r="A39" s="472"/>
      <c r="B39" s="422" t="s">
        <v>2685</v>
      </c>
      <c r="C39" s="460" t="s">
        <v>3132</v>
      </c>
      <c r="D39" s="435">
        <v>100</v>
      </c>
      <c r="E39" s="460" t="s">
        <v>3132</v>
      </c>
      <c r="F39" s="461">
        <f>SUMIF(115:115,E39,116:116)-SUMIF(115:115,C39,116:116)+100</f>
        <v>100</v>
      </c>
      <c r="G39" s="460" t="s">
        <v>3132</v>
      </c>
      <c r="H39" s="435">
        <f>SUMIF(115:115,G39,116:116)-SUMIF(115:115,C39,116:116)+100</f>
        <v>100</v>
      </c>
      <c r="I39" s="460" t="s">
        <v>3132</v>
      </c>
      <c r="J39" s="435">
        <f>SUMIF(115:115,I39,116:116)-SUMIF(115:115,C39,116:116)+100</f>
        <v>100</v>
      </c>
      <c r="K39" s="612">
        <v>2</v>
      </c>
      <c r="L39" s="1139"/>
      <c r="M39" s="1130"/>
      <c r="N39" s="1130"/>
      <c r="O39" s="1130"/>
      <c r="P39" s="3226" t="s">
        <v>2555</v>
      </c>
      <c r="Q39" s="1808" t="str">
        <f t="shared" si="11"/>
        <v>物业管理</v>
      </c>
      <c r="R39" s="773" t="s">
        <v>17</v>
      </c>
      <c r="S39" s="774">
        <f t="shared" si="12"/>
        <v>100</v>
      </c>
      <c r="T39" s="773" t="s">
        <v>17</v>
      </c>
      <c r="U39" s="774">
        <f t="shared" si="13"/>
        <v>100</v>
      </c>
      <c r="V39" s="773" t="s">
        <v>17</v>
      </c>
      <c r="W39" s="774">
        <f t="shared" si="14"/>
        <v>100</v>
      </c>
      <c r="X39" s="1811"/>
      <c r="Y39" s="3228" t="s">
        <v>2555</v>
      </c>
      <c r="Z39" s="1812" t="str">
        <f t="shared" si="15"/>
        <v>物业管理</v>
      </c>
      <c r="AA39" s="1809">
        <f t="shared" si="3"/>
        <v>1</v>
      </c>
      <c r="AB39" s="1809">
        <f t="shared" si="4"/>
        <v>1</v>
      </c>
      <c r="AC39" s="2670">
        <f t="shared" si="5"/>
        <v>1</v>
      </c>
    </row>
    <row r="40" spans="1:29" ht="15">
      <c r="A40" s="472"/>
      <c r="B40" s="422" t="s">
        <v>2653</v>
      </c>
      <c r="C40" s="460" t="s">
        <v>3136</v>
      </c>
      <c r="D40" s="435">
        <v>100</v>
      </c>
      <c r="E40" s="460" t="s">
        <v>3136</v>
      </c>
      <c r="F40" s="461">
        <f>SUMIF(117:117,E40,118:118)-SUMIF(117:117,C40,118:118)+100</f>
        <v>100</v>
      </c>
      <c r="G40" s="460" t="s">
        <v>3136</v>
      </c>
      <c r="H40" s="435">
        <f>SUMIF(117:117,G40,118:118)-SUMIF(117:117,C40,118:118)+100</f>
        <v>100</v>
      </c>
      <c r="I40" s="460" t="s">
        <v>3136</v>
      </c>
      <c r="J40" s="435">
        <f>SUMIF(117:117,I40,118:118)-SUMIF(117:117,C40,118:118)+100</f>
        <v>100</v>
      </c>
      <c r="K40" s="612">
        <v>2</v>
      </c>
      <c r="L40" s="1139"/>
      <c r="M40" s="1130"/>
      <c r="N40" s="1130"/>
      <c r="O40" s="1130"/>
      <c r="P40" s="3226"/>
      <c r="Q40" s="1808" t="str">
        <f t="shared" si="11"/>
        <v>市政基础设施</v>
      </c>
      <c r="R40" s="773" t="s">
        <v>17</v>
      </c>
      <c r="S40" s="774">
        <f t="shared" si="12"/>
        <v>100</v>
      </c>
      <c r="T40" s="773" t="s">
        <v>17</v>
      </c>
      <c r="U40" s="774">
        <f t="shared" si="13"/>
        <v>100</v>
      </c>
      <c r="V40" s="773" t="s">
        <v>17</v>
      </c>
      <c r="W40" s="774">
        <f t="shared" si="14"/>
        <v>100</v>
      </c>
      <c r="X40" s="1811"/>
      <c r="Y40" s="3228"/>
      <c r="Z40" s="1812" t="str">
        <f t="shared" si="15"/>
        <v>市政基础设施</v>
      </c>
      <c r="AA40" s="1809">
        <f t="shared" si="3"/>
        <v>1</v>
      </c>
      <c r="AB40" s="1809">
        <f t="shared" si="4"/>
        <v>1</v>
      </c>
      <c r="AC40" s="2670">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39"/>
      <c r="M41" s="1130"/>
      <c r="N41" s="1130"/>
      <c r="O41" s="1130"/>
      <c r="P41" s="3226"/>
      <c r="Q41" s="1808" t="str">
        <f t="shared" si="11"/>
        <v>层高</v>
      </c>
      <c r="R41" s="773" t="s">
        <v>17</v>
      </c>
      <c r="S41" s="774">
        <f t="shared" si="12"/>
        <v>100</v>
      </c>
      <c r="T41" s="773" t="s">
        <v>17</v>
      </c>
      <c r="U41" s="774">
        <f t="shared" si="13"/>
        <v>100</v>
      </c>
      <c r="V41" s="773" t="s">
        <v>17</v>
      </c>
      <c r="W41" s="774">
        <f t="shared" si="14"/>
        <v>100</v>
      </c>
      <c r="X41" s="1811"/>
      <c r="Y41" s="3228"/>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6"/>
      <c r="Q42" s="775" t="str">
        <f t="shared" si="11"/>
        <v>单套建筑面积</v>
      </c>
      <c r="R42" s="776" t="s">
        <v>17</v>
      </c>
      <c r="S42" s="777">
        <f t="shared" si="12"/>
        <v>100</v>
      </c>
      <c r="T42" s="776" t="s">
        <v>17</v>
      </c>
      <c r="U42" s="777">
        <f t="shared" si="13"/>
        <v>100</v>
      </c>
      <c r="V42" s="776" t="s">
        <v>17</v>
      </c>
      <c r="W42" s="777">
        <f t="shared" si="14"/>
        <v>100</v>
      </c>
      <c r="X42" s="778"/>
      <c r="Y42" s="3228"/>
      <c r="Z42" s="779" t="str">
        <f t="shared" si="15"/>
        <v>单套建筑面积</v>
      </c>
      <c r="AA42" s="1809">
        <f t="shared" si="3"/>
        <v>1</v>
      </c>
      <c r="AB42" s="1809">
        <f t="shared" si="4"/>
        <v>1</v>
      </c>
      <c r="AC42" s="2670">
        <f t="shared" si="5"/>
        <v>1</v>
      </c>
    </row>
    <row r="43" spans="1:29" ht="15">
      <c r="A43" s="472"/>
      <c r="B43" s="422" t="s">
        <v>2658</v>
      </c>
      <c r="C43" s="460" t="s">
        <v>3124</v>
      </c>
      <c r="D43" s="435">
        <v>100</v>
      </c>
      <c r="E43" s="460" t="s">
        <v>3124</v>
      </c>
      <c r="F43" s="461">
        <f>SUMIF(123:123,E43,124:124)-SUMIF(123:123,C43,124:124)+100</f>
        <v>100</v>
      </c>
      <c r="G43" s="460" t="s">
        <v>3124</v>
      </c>
      <c r="H43" s="435">
        <f>SUMIF(123:123,G43,124:124)-SUMIF(123:123,C43,124:124)+100</f>
        <v>100</v>
      </c>
      <c r="I43" s="460" t="s">
        <v>3124</v>
      </c>
      <c r="J43" s="435">
        <f>SUMIF(123:123,I43,124:124)-SUMIF(123:123,C43,124:124)+100</f>
        <v>100</v>
      </c>
      <c r="K43" s="612">
        <v>2</v>
      </c>
      <c r="L43" s="1139"/>
      <c r="M43" s="1130"/>
      <c r="N43" s="1130"/>
      <c r="O43" s="1130"/>
      <c r="P43" s="3226"/>
      <c r="Q43" s="1808" t="str">
        <f t="shared" si="11"/>
        <v>内部装修</v>
      </c>
      <c r="R43" s="773" t="s">
        <v>17</v>
      </c>
      <c r="S43" s="774">
        <f t="shared" si="12"/>
        <v>100</v>
      </c>
      <c r="T43" s="773" t="s">
        <v>17</v>
      </c>
      <c r="U43" s="774">
        <f t="shared" si="13"/>
        <v>100</v>
      </c>
      <c r="V43" s="773" t="s">
        <v>17</v>
      </c>
      <c r="W43" s="774">
        <f t="shared" si="14"/>
        <v>100</v>
      </c>
      <c r="X43" s="1811"/>
      <c r="Y43" s="3228"/>
      <c r="Z43" s="1812" t="str">
        <f t="shared" si="15"/>
        <v>内部装修</v>
      </c>
      <c r="AA43" s="1809">
        <f t="shared" si="3"/>
        <v>1</v>
      </c>
      <c r="AB43" s="1809">
        <f t="shared" si="4"/>
        <v>1</v>
      </c>
      <c r="AC43" s="2670">
        <f t="shared" si="5"/>
        <v>1</v>
      </c>
    </row>
    <row r="44" spans="1:29" ht="15">
      <c r="A44" s="472"/>
      <c r="B44" s="422" t="s">
        <v>2566</v>
      </c>
      <c r="C44" s="460" t="s">
        <v>3101</v>
      </c>
      <c r="D44" s="435">
        <v>100</v>
      </c>
      <c r="E44" s="460" t="s">
        <v>3101</v>
      </c>
      <c r="F44" s="461">
        <f>SUMIF(125:125,E44,126:126)-SUMIF(125:125,C44,126:126)+100</f>
        <v>100</v>
      </c>
      <c r="G44" s="460" t="s">
        <v>3101</v>
      </c>
      <c r="H44" s="435">
        <f>SUMIF(125:125,G44,126:126)-SUMIF(125:125,C44,126:126)+100</f>
        <v>100</v>
      </c>
      <c r="I44" s="460" t="s">
        <v>3101</v>
      </c>
      <c r="J44" s="435">
        <f>SUMIF(125:125,I44,126:126)-SUMIF(125:125,C44,126:126)+100</f>
        <v>100</v>
      </c>
      <c r="K44" s="612">
        <v>2</v>
      </c>
      <c r="L44" s="1139"/>
      <c r="M44" s="1130"/>
      <c r="N44" s="1130"/>
      <c r="O44" s="1130"/>
      <c r="P44" s="3226"/>
      <c r="Q44" s="1808" t="str">
        <f t="shared" si="11"/>
        <v>内部装修维护情况</v>
      </c>
      <c r="R44" s="773" t="s">
        <v>17</v>
      </c>
      <c r="S44" s="774">
        <f t="shared" si="12"/>
        <v>100</v>
      </c>
      <c r="T44" s="773" t="s">
        <v>17</v>
      </c>
      <c r="U44" s="774">
        <f t="shared" si="13"/>
        <v>100</v>
      </c>
      <c r="V44" s="773" t="s">
        <v>17</v>
      </c>
      <c r="W44" s="774">
        <f t="shared" si="14"/>
        <v>100</v>
      </c>
      <c r="X44" s="1811"/>
      <c r="Y44" s="3228"/>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6"/>
      <c r="Q45" s="1793">
        <f t="shared" si="11"/>
        <v>111</v>
      </c>
      <c r="R45" s="769" t="s">
        <v>17</v>
      </c>
      <c r="S45" s="770">
        <f t="shared" si="12"/>
        <v>100</v>
      </c>
      <c r="T45" s="769" t="s">
        <v>17</v>
      </c>
      <c r="U45" s="770">
        <f t="shared" si="13"/>
        <v>100</v>
      </c>
      <c r="V45" s="769" t="s">
        <v>17</v>
      </c>
      <c r="W45" s="770">
        <f t="shared" si="14"/>
        <v>100</v>
      </c>
      <c r="X45" s="771"/>
      <c r="Y45" s="3228"/>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6"/>
      <c r="Q46" s="1808">
        <f t="shared" si="11"/>
        <v>111</v>
      </c>
      <c r="R46" s="773" t="s">
        <v>17</v>
      </c>
      <c r="S46" s="774">
        <f t="shared" si="12"/>
        <v>100</v>
      </c>
      <c r="T46" s="773" t="s">
        <v>17</v>
      </c>
      <c r="U46" s="774">
        <f t="shared" si="13"/>
        <v>100</v>
      </c>
      <c r="V46" s="773" t="s">
        <v>17</v>
      </c>
      <c r="W46" s="774">
        <f t="shared" si="14"/>
        <v>100</v>
      </c>
      <c r="X46" s="1811"/>
      <c r="Y46" s="3228"/>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7"/>
      <c r="Q47" s="1808">
        <f t="shared" si="11"/>
        <v>111</v>
      </c>
      <c r="R47" s="773" t="s">
        <v>17</v>
      </c>
      <c r="S47" s="774">
        <f t="shared" si="12"/>
        <v>100</v>
      </c>
      <c r="T47" s="773" t="s">
        <v>17</v>
      </c>
      <c r="U47" s="774">
        <f t="shared" si="13"/>
        <v>100</v>
      </c>
      <c r="V47" s="773" t="s">
        <v>17</v>
      </c>
      <c r="W47" s="774">
        <f t="shared" si="14"/>
        <v>100</v>
      </c>
      <c r="X47" s="1811"/>
      <c r="Y47" s="3229"/>
      <c r="Z47" s="1812">
        <f t="shared" si="15"/>
        <v>111</v>
      </c>
      <c r="AA47" s="1809">
        <f t="shared" si="3"/>
        <v>1</v>
      </c>
      <c r="AB47" s="1809">
        <f t="shared" si="4"/>
        <v>1</v>
      </c>
      <c r="AC47" s="2670">
        <f t="shared" si="5"/>
        <v>1</v>
      </c>
    </row>
    <row r="48" spans="1:29" ht="15">
      <c r="A48" s="479" t="s">
        <v>2567</v>
      </c>
      <c r="B48" s="480"/>
      <c r="C48" s="1405" t="s">
        <v>1</v>
      </c>
      <c r="D48" s="1406"/>
      <c r="E48" s="1407">
        <v>42254</v>
      </c>
      <c r="F48" s="1408"/>
      <c r="G48" s="1409">
        <v>40000</v>
      </c>
      <c r="H48" s="1410"/>
      <c r="I48" s="1407">
        <v>48000</v>
      </c>
      <c r="J48" s="485"/>
      <c r="K48" s="782"/>
      <c r="L48" s="1142"/>
      <c r="M48" s="1130"/>
      <c r="N48" s="1130"/>
      <c r="O48" s="1130"/>
      <c r="P48" s="3232" t="str">
        <f>A48</f>
        <v>成交单价（元/平方米）</v>
      </c>
      <c r="Q48" s="3221"/>
      <c r="R48" s="3222">
        <f>E48</f>
        <v>42254</v>
      </c>
      <c r="S48" s="3222"/>
      <c r="T48" s="3222">
        <f>G48</f>
        <v>40000</v>
      </c>
      <c r="U48" s="3222"/>
      <c r="V48" s="3222">
        <f>I48</f>
        <v>48000</v>
      </c>
      <c r="W48" s="3222"/>
      <c r="X48" s="446"/>
      <c r="Y48" s="780"/>
      <c r="Z48" s="446"/>
      <c r="AA48" s="446"/>
      <c r="AB48" s="446"/>
      <c r="AC48" s="630"/>
    </row>
    <row r="49" spans="1:29" ht="15.75" thickBot="1">
      <c r="A49" s="486" t="s">
        <v>2659</v>
      </c>
      <c r="B49" s="487"/>
      <c r="C49" s="1411">
        <f>R50</f>
        <v>43599</v>
      </c>
      <c r="D49" s="1412"/>
      <c r="E49" s="1413">
        <f>R49</f>
        <v>42825</v>
      </c>
      <c r="F49" s="1413"/>
      <c r="G49" s="1411">
        <f>T49</f>
        <v>40850</v>
      </c>
      <c r="H49" s="1412"/>
      <c r="I49" s="1413">
        <f>V49</f>
        <v>47121</v>
      </c>
      <c r="J49" s="489"/>
      <c r="K49" s="783"/>
      <c r="L49" s="1142"/>
      <c r="M49" s="1130"/>
      <c r="N49" s="1130"/>
      <c r="O49" s="1130"/>
      <c r="P49" s="3232" t="str">
        <f>A49</f>
        <v>比较价值（元/平方米）</v>
      </c>
      <c r="Q49" s="3221"/>
      <c r="R49" s="3222">
        <f>IF(F1="售价",ROUND(PRODUCT(R48,AA7:AA47),0),ROUND(PRODUCT(R48,AA7:AA47),1))</f>
        <v>42825</v>
      </c>
      <c r="S49" s="3222"/>
      <c r="T49" s="3222">
        <f>IF(F1="售价",ROUND(PRODUCT(T48,AB7:AB47),0),ROUND(PRODUCT(T48,AB7:AB47),1))</f>
        <v>40850</v>
      </c>
      <c r="U49" s="3222"/>
      <c r="V49" s="3222">
        <f>IF(F1="售价",ROUND(PRODUCT(V48,AC7:AC47),0),ROUND(PRODUCT(V48,AC7:AC47),1))</f>
        <v>47121</v>
      </c>
      <c r="W49" s="3222"/>
      <c r="X49" s="446"/>
      <c r="Y49" s="446"/>
      <c r="Z49" s="446"/>
      <c r="AA49" s="446"/>
      <c r="AB49" s="446"/>
      <c r="AC49" s="630"/>
    </row>
    <row r="50" spans="1:29" ht="15.75" thickBot="1">
      <c r="A50" s="492" t="s">
        <v>2660</v>
      </c>
      <c r="B50" s="493"/>
      <c r="C50" s="1415">
        <f>R50</f>
        <v>43599</v>
      </c>
      <c r="D50" s="1415"/>
      <c r="E50" s="1415"/>
      <c r="F50" s="1415"/>
      <c r="G50" s="1415"/>
      <c r="H50" s="1415"/>
      <c r="I50" s="1415"/>
      <c r="J50" s="494"/>
      <c r="K50" s="784"/>
      <c r="L50" s="1142"/>
      <c r="M50" s="1130"/>
      <c r="N50" s="1130"/>
      <c r="O50" s="1130"/>
      <c r="P50" s="3264" t="str">
        <f>A50</f>
        <v>估价对象XX用房的比较价值（楼面单价，元/平方米）</v>
      </c>
      <c r="Q50" s="3265"/>
      <c r="R50" s="3266">
        <f>IF(F1="售价",ROUND(AVERAGE(R49:V49),0),ROUND(AVERAGE(R49:V49),1))</f>
        <v>43599</v>
      </c>
      <c r="S50" s="3266"/>
      <c r="T50" s="3266"/>
      <c r="U50" s="3266"/>
      <c r="V50" s="3266"/>
      <c r="W50" s="3266"/>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1.3513513513513598E-2</v>
      </c>
      <c r="F53" s="500" t="str">
        <f>IF(OR(E53&gt;=0.3,E53&lt;=-0.3),"超过30%","")</f>
        <v/>
      </c>
      <c r="G53" s="499">
        <f>IF(G48&lt;G49,G49/G48-1,G48/G49-1)</f>
        <v>2.1249999999999991E-2</v>
      </c>
      <c r="H53" s="500" t="str">
        <f>IF(OR(G53&gt;=0.3,G53&lt;=-0.3),"超过30%","")</f>
        <v/>
      </c>
      <c r="I53" s="499">
        <f>IF(I48&lt;I49,I49/I48-1,I48/I49-1)</f>
        <v>1.8654103266059652E-2</v>
      </c>
      <c r="J53" s="500" t="str">
        <f>IF(OR(I53&gt;=0.3,I53&lt;=-0.3),"超过30%","")</f>
        <v/>
      </c>
      <c r="K53" s="1104"/>
      <c r="L53" s="1105"/>
      <c r="M53" s="1143"/>
      <c r="N53" s="1143"/>
      <c r="O53" s="1143"/>
    </row>
    <row r="54" spans="1:29" ht="13.5" customHeight="1">
      <c r="A54" s="1143"/>
      <c r="B54" s="1143"/>
      <c r="C54" s="497" t="s">
        <v>2662</v>
      </c>
      <c r="D54" s="501"/>
      <c r="E54" s="499">
        <f>IF(E49&lt;G49,G49/E49-1,E49/G49-1)</f>
        <v>4.834761321909431E-2</v>
      </c>
      <c r="F54" s="500" t="str">
        <f>IF(OR(E54&gt;=0.2,E54&lt;=-0.2),"超过20%","")</f>
        <v/>
      </c>
      <c r="G54" s="499">
        <f>IF(G49&lt;I49,I49/G49-1,G49/I49-1)</f>
        <v>0.15351285189718489</v>
      </c>
      <c r="H54" s="500" t="str">
        <f>IF(OR(G54&gt;=0.2,G54&lt;=-0.2),"超过20%","")</f>
        <v/>
      </c>
      <c r="I54" s="499">
        <f>IF(I49&lt;E49,E49/I49-1,I49/E49-1)</f>
        <v>0.10031523642732054</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5.63499999999999E-2</v>
      </c>
      <c r="F55" s="500" t="str">
        <f>IF(OR(E55&gt;=0.3,E55&lt;=-0.3),"超过30%","")</f>
        <v/>
      </c>
      <c r="G55" s="499">
        <f>IF(G48&lt;I48,I48/G48-1,G48/I48-1)</f>
        <v>0.19999999999999996</v>
      </c>
      <c r="H55" s="500" t="str">
        <f>IF(OR(G55&gt;=0.3,G55&lt;=-0.3),"超过30%","")</f>
        <v/>
      </c>
      <c r="I55" s="499">
        <f>IF(I48&lt;E48,E48/I48-1,I48/E48-1)</f>
        <v>0.13598712547924463</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3108</v>
      </c>
      <c r="D87" s="2967" t="s">
        <v>3110</v>
      </c>
      <c r="E87" s="2967" t="s">
        <v>3111</v>
      </c>
      <c r="F87" s="2967" t="s">
        <v>3113</v>
      </c>
      <c r="G87" s="2967" t="s">
        <v>3114</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3116</v>
      </c>
      <c r="D89" s="2967" t="s">
        <v>3118</v>
      </c>
      <c r="E89" s="2967" t="s">
        <v>3119</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3121</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1500(含)-2000</v>
      </c>
      <c r="I103" s="578" t="str">
        <f t="shared" si="23"/>
        <v>2000(含)-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1500</v>
      </c>
      <c r="I104" s="595">
        <v>2000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7" t="s">
        <v>3122</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3123</v>
      </c>
      <c r="D108" s="2967" t="s">
        <v>3125</v>
      </c>
      <c r="E108" s="2967" t="s">
        <v>3127</v>
      </c>
      <c r="F108" s="2969" t="s">
        <v>3128</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3130</v>
      </c>
      <c r="D113" s="2967" t="s">
        <v>3131</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3133</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3135</v>
      </c>
      <c r="D117" s="2967" t="s">
        <v>3137</v>
      </c>
      <c r="E117" s="2967" t="s">
        <v>3138</v>
      </c>
      <c r="F117" s="2967" t="s">
        <v>3139</v>
      </c>
      <c r="G117" s="2967" t="s">
        <v>3140</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3142</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3123</v>
      </c>
      <c r="D123" s="2967" t="s">
        <v>3125</v>
      </c>
      <c r="E123" s="2967" t="s">
        <v>3127</v>
      </c>
      <c r="F123" s="2969" t="s">
        <v>3128</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北京凯普林光电科技股份有限公司：</v>
      </c>
    </row>
    <row r="4" spans="1:1" ht="36">
      <c r="A4" s="1945" t="str">
        <f>"受贵公司委托，我公司对"&amp;项目基本情况!S1&amp;"进行了预评估。"</f>
        <v>受贵公司委托，我公司对北京市丰台区南四环西路128号院2号楼5层610等4套办公用房房地产抵押价值进行了预评估。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2019年9月10日（评估专业人员实地查勘之日）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办公，土地取得方式为出让，出让国有建设用地使用权剩余土地使用年限为办公42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435.22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34" t="s">
        <v>2638</v>
      </c>
      <c r="AC4" s="3233" t="s">
        <v>2639</v>
      </c>
    </row>
    <row r="5" spans="1:29"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34"/>
      <c r="AC5" s="3234"/>
    </row>
    <row r="6" spans="1:29" ht="15.75" thickBot="1">
      <c r="A6" s="406"/>
      <c r="B6" s="407"/>
      <c r="C6" s="3253" t="s">
        <v>2536</v>
      </c>
      <c r="D6" s="3254"/>
      <c r="E6" s="3260" t="s">
        <v>2536</v>
      </c>
      <c r="F6" s="3261"/>
      <c r="G6" s="3253" t="s">
        <v>2536</v>
      </c>
      <c r="H6" s="3254"/>
      <c r="I6" s="3253" t="s">
        <v>2536</v>
      </c>
      <c r="J6" s="3254"/>
      <c r="K6" s="610" t="s">
        <v>2537</v>
      </c>
      <c r="L6" s="1129"/>
      <c r="M6" s="1130"/>
      <c r="N6" s="1130"/>
      <c r="O6" s="1130"/>
      <c r="P6" s="3244"/>
      <c r="Q6" s="3245"/>
      <c r="R6" s="3248"/>
      <c r="S6" s="3249"/>
      <c r="T6" s="3250"/>
      <c r="U6" s="3251"/>
      <c r="V6" s="3252"/>
      <c r="W6" s="3252"/>
      <c r="X6" s="1811"/>
      <c r="Y6" s="3250"/>
      <c r="Z6" s="3251"/>
      <c r="AA6" s="3235"/>
      <c r="AB6" s="3235"/>
      <c r="AC6" s="3235"/>
    </row>
    <row r="7" spans="1:29" s="117" customFormat="1" ht="15.75" thickBot="1">
      <c r="A7" s="408" t="s">
        <v>2538</v>
      </c>
      <c r="B7" s="409"/>
      <c r="C7" s="410">
        <f>'数据-取费表'!B2</f>
        <v>43718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57" t="s">
        <v>2539</v>
      </c>
      <c r="Q7" s="3259"/>
      <c r="R7" s="769" t="s">
        <v>17</v>
      </c>
      <c r="S7" s="770">
        <f t="shared" ref="S7:S15" si="0">F7</f>
        <v>0</v>
      </c>
      <c r="T7" s="769" t="s">
        <v>17</v>
      </c>
      <c r="U7" s="770">
        <f t="shared" ref="U7:U15" si="1">H7</f>
        <v>0</v>
      </c>
      <c r="V7" s="769" t="s">
        <v>17</v>
      </c>
      <c r="W7" s="770">
        <f t="shared" ref="W7:W15" si="2">J7</f>
        <v>0</v>
      </c>
      <c r="X7" s="771"/>
      <c r="Y7" s="3257" t="s">
        <v>2539</v>
      </c>
      <c r="Z7" s="3258"/>
      <c r="AA7" s="772" t="e">
        <f>D7/F7</f>
        <v>#DIV/0!</v>
      </c>
      <c r="AB7" s="772" t="e">
        <f>D7/H7</f>
        <v>#DIV/0!</v>
      </c>
      <c r="AC7" s="772"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40" si="3">D8/F8</f>
        <v>#DIV/0!</v>
      </c>
      <c r="AB8" s="772" t="e">
        <f t="shared" ref="AB8:AB40" si="4">D8/H8</f>
        <v>#DIV/0!</v>
      </c>
      <c r="AC8" s="772"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1"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3" t="s">
        <v>2550</v>
      </c>
      <c r="Q15" s="1808" t="str">
        <f t="shared" si="6"/>
        <v>产业集聚程度</v>
      </c>
      <c r="R15" s="773" t="s">
        <v>17</v>
      </c>
      <c r="S15" s="774">
        <f t="shared" si="0"/>
        <v>100</v>
      </c>
      <c r="T15" s="773" t="s">
        <v>17</v>
      </c>
      <c r="U15" s="774">
        <f t="shared" si="1"/>
        <v>100</v>
      </c>
      <c r="V15" s="773" t="s">
        <v>17</v>
      </c>
      <c r="W15" s="774">
        <f t="shared" si="2"/>
        <v>100</v>
      </c>
      <c r="X15" s="1811"/>
      <c r="Y15" s="3223"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4"/>
      <c r="Q16" s="1808"/>
      <c r="R16" s="773"/>
      <c r="S16" s="774"/>
      <c r="T16" s="773"/>
      <c r="U16" s="774"/>
      <c r="V16" s="773"/>
      <c r="W16" s="774"/>
      <c r="X16" s="1811"/>
      <c r="Y16" s="3224"/>
      <c r="Z16" s="1812"/>
      <c r="AA16" s="1809">
        <v>1</v>
      </c>
      <c r="AB16" s="1809">
        <v>1</v>
      </c>
      <c r="AC16" s="1809">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4"/>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24"/>
      <c r="Q18" s="1808"/>
      <c r="R18" s="773"/>
      <c r="S18" s="774"/>
      <c r="T18" s="773"/>
      <c r="U18" s="774"/>
      <c r="V18" s="773"/>
      <c r="W18" s="774"/>
      <c r="X18" s="1811"/>
      <c r="Y18" s="3224"/>
      <c r="Z18" s="1812"/>
      <c r="AA18" s="1809">
        <v>1</v>
      </c>
      <c r="AB18" s="1809">
        <v>1</v>
      </c>
      <c r="AC18" s="1809">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4"/>
      <c r="Q19" s="1808" t="str">
        <f>B19</f>
        <v>公共配套设施</v>
      </c>
      <c r="R19" s="773" t="s">
        <v>17</v>
      </c>
      <c r="S19" s="774">
        <f>F19</f>
        <v>100</v>
      </c>
      <c r="T19" s="773" t="s">
        <v>17</v>
      </c>
      <c r="U19" s="774">
        <f>H19</f>
        <v>100</v>
      </c>
      <c r="V19" s="773" t="s">
        <v>17</v>
      </c>
      <c r="W19" s="774">
        <f>J19</f>
        <v>100</v>
      </c>
      <c r="X19" s="1811"/>
      <c r="Y19" s="322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24"/>
      <c r="Q20" s="1808"/>
      <c r="R20" s="773"/>
      <c r="S20" s="774"/>
      <c r="T20" s="773"/>
      <c r="U20" s="774"/>
      <c r="V20" s="773"/>
      <c r="W20" s="774"/>
      <c r="X20" s="1811"/>
      <c r="Y20" s="3224"/>
      <c r="Z20" s="1812"/>
      <c r="AA20" s="1809">
        <v>1</v>
      </c>
      <c r="AB20" s="1809">
        <v>1</v>
      </c>
      <c r="AC20" s="1809">
        <v>1</v>
      </c>
    </row>
    <row r="21" spans="1:29" ht="28.5">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4"/>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24"/>
      <c r="Q22" s="1808"/>
      <c r="R22" s="773"/>
      <c r="S22" s="774"/>
      <c r="T22" s="773"/>
      <c r="U22" s="774"/>
      <c r="V22" s="773"/>
      <c r="W22" s="774"/>
      <c r="X22" s="1811"/>
      <c r="Y22" s="3224"/>
      <c r="Z22" s="1812"/>
      <c r="AA22" s="1809">
        <v>1</v>
      </c>
      <c r="AB22" s="1809">
        <v>1</v>
      </c>
      <c r="AC22" s="1809">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4"/>
      <c r="Q23" s="1808" t="str">
        <f>B23</f>
        <v>环境质量</v>
      </c>
      <c r="R23" s="773" t="s">
        <v>17</v>
      </c>
      <c r="S23" s="774">
        <f>F23</f>
        <v>100</v>
      </c>
      <c r="T23" s="773" t="s">
        <v>17</v>
      </c>
      <c r="U23" s="774">
        <f>H23</f>
        <v>100</v>
      </c>
      <c r="V23" s="773" t="s">
        <v>17</v>
      </c>
      <c r="W23" s="774">
        <f>J23</f>
        <v>100</v>
      </c>
      <c r="X23" s="1811"/>
      <c r="Y23" s="3224"/>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24"/>
      <c r="Q24" s="1808"/>
      <c r="R24" s="773"/>
      <c r="S24" s="774"/>
      <c r="T24" s="773"/>
      <c r="U24" s="774"/>
      <c r="V24" s="773"/>
      <c r="W24" s="774"/>
      <c r="X24" s="1811"/>
      <c r="Y24" s="3224"/>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4"/>
      <c r="Q25" s="1808">
        <f>B25</f>
        <v>111</v>
      </c>
      <c r="R25" s="773" t="s">
        <v>17</v>
      </c>
      <c r="S25" s="774">
        <f>F25</f>
        <v>100</v>
      </c>
      <c r="T25" s="773" t="s">
        <v>17</v>
      </c>
      <c r="U25" s="774">
        <f>H25</f>
        <v>100</v>
      </c>
      <c r="V25" s="773" t="s">
        <v>17</v>
      </c>
      <c r="W25" s="774">
        <f>J25</f>
        <v>100</v>
      </c>
      <c r="X25" s="1811"/>
      <c r="Y25" s="3224"/>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4"/>
      <c r="Q26" s="1808">
        <f t="shared" ref="Q26:Q40" si="11">B26</f>
        <v>111</v>
      </c>
      <c r="R26" s="773" t="s">
        <v>17</v>
      </c>
      <c r="S26" s="774">
        <f>F26</f>
        <v>100</v>
      </c>
      <c r="T26" s="773" t="s">
        <v>17</v>
      </c>
      <c r="U26" s="774">
        <f>H26</f>
        <v>100</v>
      </c>
      <c r="V26" s="773" t="s">
        <v>17</v>
      </c>
      <c r="W26" s="774">
        <f>J26</f>
        <v>100</v>
      </c>
      <c r="X26" s="1811"/>
      <c r="Y26" s="3224"/>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4"/>
      <c r="Q27" s="1793">
        <f t="shared" si="11"/>
        <v>111</v>
      </c>
      <c r="R27" s="769" t="s">
        <v>17</v>
      </c>
      <c r="S27" s="770">
        <f>F27</f>
        <v>100</v>
      </c>
      <c r="T27" s="769" t="s">
        <v>17</v>
      </c>
      <c r="U27" s="770">
        <f>H27</f>
        <v>100</v>
      </c>
      <c r="V27" s="769" t="s">
        <v>17</v>
      </c>
      <c r="W27" s="770">
        <f>J27</f>
        <v>100</v>
      </c>
      <c r="X27" s="771"/>
      <c r="Y27" s="3224"/>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4"/>
      <c r="Q28" s="1808">
        <f t="shared" si="11"/>
        <v>111</v>
      </c>
      <c r="R28" s="773" t="s">
        <v>17</v>
      </c>
      <c r="S28" s="774">
        <f t="shared" ref="S28:S40" si="12">F28</f>
        <v>100</v>
      </c>
      <c r="T28" s="773" t="s">
        <v>17</v>
      </c>
      <c r="U28" s="774">
        <f t="shared" ref="U28:U40" si="13">H28</f>
        <v>100</v>
      </c>
      <c r="V28" s="773" t="s">
        <v>17</v>
      </c>
      <c r="W28" s="774">
        <f t="shared" ref="W28:W40" si="14">J28</f>
        <v>100</v>
      </c>
      <c r="X28" s="1811"/>
      <c r="Y28" s="3224"/>
      <c r="Z28" s="1812">
        <f t="shared" ref="Z28:Z40" si="15">Q28</f>
        <v>111</v>
      </c>
      <c r="AA28" s="1809">
        <f t="shared" si="3"/>
        <v>1</v>
      </c>
      <c r="AB28" s="1809">
        <f t="shared" si="4"/>
        <v>1</v>
      </c>
      <c r="AC28" s="1809">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82" t="s">
        <v>2555</v>
      </c>
      <c r="Q29" s="1808" t="str">
        <f t="shared" si="11"/>
        <v>建筑类型</v>
      </c>
      <c r="R29" s="773" t="s">
        <v>17</v>
      </c>
      <c r="S29" s="774">
        <f t="shared" si="12"/>
        <v>100</v>
      </c>
      <c r="T29" s="773" t="s">
        <v>17</v>
      </c>
      <c r="U29" s="774">
        <f t="shared" si="13"/>
        <v>100</v>
      </c>
      <c r="V29" s="773" t="s">
        <v>17</v>
      </c>
      <c r="W29" s="774">
        <f t="shared" si="14"/>
        <v>100</v>
      </c>
      <c r="X29" s="1811"/>
      <c r="Y29" s="3228"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8"/>
      <c r="Q30" s="775" t="str">
        <f t="shared" si="11"/>
        <v>项目建筑规模</v>
      </c>
      <c r="R30" s="776" t="s">
        <v>17</v>
      </c>
      <c r="S30" s="777" t="e">
        <f t="shared" si="12"/>
        <v>#N/A</v>
      </c>
      <c r="T30" s="776" t="s">
        <v>17</v>
      </c>
      <c r="U30" s="777" t="e">
        <f t="shared" si="13"/>
        <v>#N/A</v>
      </c>
      <c r="V30" s="776" t="s">
        <v>17</v>
      </c>
      <c r="W30" s="777" t="e">
        <f t="shared" si="14"/>
        <v>#N/A</v>
      </c>
      <c r="X30" s="778"/>
      <c r="Y30" s="3228"/>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8"/>
      <c r="Q31" s="1808" t="str">
        <f t="shared" si="11"/>
        <v>建筑结构</v>
      </c>
      <c r="R31" s="773" t="s">
        <v>17</v>
      </c>
      <c r="S31" s="774">
        <f t="shared" si="12"/>
        <v>100</v>
      </c>
      <c r="T31" s="773" t="s">
        <v>17</v>
      </c>
      <c r="U31" s="774">
        <f t="shared" si="13"/>
        <v>100</v>
      </c>
      <c r="V31" s="773" t="s">
        <v>17</v>
      </c>
      <c r="W31" s="774">
        <f t="shared" si="14"/>
        <v>100</v>
      </c>
      <c r="X31" s="1811"/>
      <c r="Y31" s="3228"/>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8"/>
      <c r="Q32" s="1808" t="str">
        <f t="shared" si="11"/>
        <v>公共部分装修</v>
      </c>
      <c r="R32" s="773" t="s">
        <v>17</v>
      </c>
      <c r="S32" s="774">
        <f t="shared" si="12"/>
        <v>100</v>
      </c>
      <c r="T32" s="773" t="s">
        <v>17</v>
      </c>
      <c r="U32" s="774">
        <f t="shared" si="13"/>
        <v>100</v>
      </c>
      <c r="V32" s="773" t="s">
        <v>17</v>
      </c>
      <c r="W32" s="774">
        <f t="shared" si="14"/>
        <v>100</v>
      </c>
      <c r="X32" s="1811"/>
      <c r="Y32" s="3228"/>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8"/>
      <c r="Q33" s="1808" t="str">
        <f t="shared" si="11"/>
        <v>成新度</v>
      </c>
      <c r="R33" s="773" t="s">
        <v>17</v>
      </c>
      <c r="S33" s="774" t="e">
        <f t="shared" si="12"/>
        <v>#N/A</v>
      </c>
      <c r="T33" s="773" t="s">
        <v>17</v>
      </c>
      <c r="U33" s="774" t="e">
        <f t="shared" si="13"/>
        <v>#N/A</v>
      </c>
      <c r="V33" s="773" t="s">
        <v>17</v>
      </c>
      <c r="W33" s="774" t="e">
        <f t="shared" si="14"/>
        <v>#N/A</v>
      </c>
      <c r="X33" s="1811"/>
      <c r="Y33" s="3228"/>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8"/>
      <c r="Q34" s="1793" t="str">
        <f t="shared" si="11"/>
        <v>物业管理</v>
      </c>
      <c r="R34" s="769" t="s">
        <v>17</v>
      </c>
      <c r="S34" s="770">
        <f t="shared" si="12"/>
        <v>100</v>
      </c>
      <c r="T34" s="769" t="s">
        <v>17</v>
      </c>
      <c r="U34" s="770">
        <f t="shared" si="13"/>
        <v>100</v>
      </c>
      <c r="V34" s="769" t="s">
        <v>17</v>
      </c>
      <c r="W34" s="770">
        <f t="shared" si="14"/>
        <v>100</v>
      </c>
      <c r="X34" s="771"/>
      <c r="Y34" s="3228"/>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8" t="s">
        <v>2555</v>
      </c>
      <c r="Q35" s="1808" t="str">
        <f t="shared" si="11"/>
        <v>市政基础设施</v>
      </c>
      <c r="R35" s="773" t="s">
        <v>17</v>
      </c>
      <c r="S35" s="774">
        <f t="shared" si="12"/>
        <v>100</v>
      </c>
      <c r="T35" s="773" t="s">
        <v>17</v>
      </c>
      <c r="U35" s="774">
        <f t="shared" si="13"/>
        <v>100</v>
      </c>
      <c r="V35" s="773" t="s">
        <v>17</v>
      </c>
      <c r="W35" s="774">
        <f t="shared" si="14"/>
        <v>100</v>
      </c>
      <c r="X35" s="1811"/>
      <c r="Y35" s="3228"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8"/>
      <c r="Q36" s="1808" t="str">
        <f t="shared" si="11"/>
        <v>内部装修</v>
      </c>
      <c r="R36" s="773" t="s">
        <v>17</v>
      </c>
      <c r="S36" s="774">
        <f t="shared" si="12"/>
        <v>100</v>
      </c>
      <c r="T36" s="773" t="s">
        <v>17</v>
      </c>
      <c r="U36" s="774">
        <f t="shared" si="13"/>
        <v>100</v>
      </c>
      <c r="V36" s="773" t="s">
        <v>17</v>
      </c>
      <c r="W36" s="774">
        <f t="shared" si="14"/>
        <v>100</v>
      </c>
      <c r="X36" s="1811"/>
      <c r="Y36" s="3228"/>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8"/>
      <c r="Q37" s="1808" t="str">
        <f t="shared" si="11"/>
        <v>内部装修状况</v>
      </c>
      <c r="R37" s="773" t="s">
        <v>17</v>
      </c>
      <c r="S37" s="774">
        <f t="shared" si="12"/>
        <v>100</v>
      </c>
      <c r="T37" s="773" t="s">
        <v>17</v>
      </c>
      <c r="U37" s="774">
        <f t="shared" si="13"/>
        <v>100</v>
      </c>
      <c r="V37" s="773" t="s">
        <v>17</v>
      </c>
      <c r="W37" s="774">
        <f t="shared" si="14"/>
        <v>100</v>
      </c>
      <c r="X37" s="1811"/>
      <c r="Y37" s="3228"/>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8"/>
      <c r="Q38" s="775">
        <f t="shared" si="11"/>
        <v>111</v>
      </c>
      <c r="R38" s="776" t="s">
        <v>17</v>
      </c>
      <c r="S38" s="777">
        <f t="shared" si="12"/>
        <v>100</v>
      </c>
      <c r="T38" s="776" t="s">
        <v>17</v>
      </c>
      <c r="U38" s="777">
        <f t="shared" si="13"/>
        <v>100</v>
      </c>
      <c r="V38" s="776" t="s">
        <v>17</v>
      </c>
      <c r="W38" s="777">
        <f t="shared" si="14"/>
        <v>100</v>
      </c>
      <c r="X38" s="778"/>
      <c r="Y38" s="3228"/>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8"/>
      <c r="Q39" s="1808">
        <f t="shared" si="11"/>
        <v>111</v>
      </c>
      <c r="R39" s="773" t="s">
        <v>17</v>
      </c>
      <c r="S39" s="774">
        <f t="shared" si="12"/>
        <v>100</v>
      </c>
      <c r="T39" s="773" t="s">
        <v>17</v>
      </c>
      <c r="U39" s="774">
        <f t="shared" si="13"/>
        <v>100</v>
      </c>
      <c r="V39" s="773" t="s">
        <v>17</v>
      </c>
      <c r="W39" s="774">
        <f t="shared" si="14"/>
        <v>100</v>
      </c>
      <c r="X39" s="1811"/>
      <c r="Y39" s="3228"/>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9"/>
      <c r="Q40" s="1808">
        <f t="shared" si="11"/>
        <v>111</v>
      </c>
      <c r="R40" s="773" t="s">
        <v>17</v>
      </c>
      <c r="S40" s="774">
        <f t="shared" si="12"/>
        <v>100</v>
      </c>
      <c r="T40" s="773" t="s">
        <v>17</v>
      </c>
      <c r="U40" s="774">
        <f t="shared" si="13"/>
        <v>100</v>
      </c>
      <c r="V40" s="773" t="s">
        <v>17</v>
      </c>
      <c r="W40" s="774">
        <f t="shared" si="14"/>
        <v>100</v>
      </c>
      <c r="X40" s="1811"/>
      <c r="Y40" s="3229"/>
      <c r="Z40" s="1812">
        <f t="shared" si="15"/>
        <v>111</v>
      </c>
      <c r="AA40" s="1809">
        <f t="shared" si="3"/>
        <v>1</v>
      </c>
      <c r="AB40" s="1809">
        <f t="shared" si="4"/>
        <v>1</v>
      </c>
      <c r="AC40" s="1809">
        <f t="shared" si="5"/>
        <v>1</v>
      </c>
    </row>
    <row r="41" spans="1:29" ht="15">
      <c r="A41" s="479" t="s">
        <v>2567</v>
      </c>
      <c r="B41" s="480"/>
      <c r="C41" s="1405" t="s">
        <v>1</v>
      </c>
      <c r="D41" s="1406"/>
      <c r="E41" s="1407"/>
      <c r="F41" s="1408"/>
      <c r="G41" s="1409"/>
      <c r="H41" s="1410"/>
      <c r="I41" s="1407"/>
      <c r="J41" s="1410"/>
      <c r="K41" s="782"/>
      <c r="L41" s="1142"/>
      <c r="M41" s="1143"/>
      <c r="N41" s="1130"/>
      <c r="O41" s="1143"/>
      <c r="P41" s="3221" t="str">
        <f>A41</f>
        <v>成交单价（元/平方米）</v>
      </c>
      <c r="Q41" s="3221"/>
      <c r="R41" s="3222">
        <f>E41</f>
        <v>0</v>
      </c>
      <c r="S41" s="3222"/>
      <c r="T41" s="3222">
        <f>G41</f>
        <v>0</v>
      </c>
      <c r="U41" s="3222"/>
      <c r="V41" s="3222">
        <f>I41</f>
        <v>0</v>
      </c>
      <c r="W41" s="3222"/>
      <c r="X41" s="758"/>
      <c r="Y41" s="780"/>
      <c r="Z41" s="758"/>
      <c r="AA41" s="758"/>
      <c r="AB41" s="758"/>
      <c r="AC41" s="758"/>
    </row>
    <row r="42" spans="1:29" ht="15.7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8"/>
      <c r="Y42" s="758"/>
      <c r="Z42" s="758"/>
      <c r="AA42" s="758"/>
      <c r="AB42" s="758"/>
      <c r="AC42" s="758"/>
    </row>
    <row r="43" spans="1:29" ht="15.75" thickBot="1">
      <c r="A43" s="492" t="s">
        <v>2660</v>
      </c>
      <c r="B43" s="493"/>
      <c r="C43" s="1415" t="e">
        <f>R43</f>
        <v>#DIV/0!</v>
      </c>
      <c r="D43" s="1415"/>
      <c r="E43" s="1415"/>
      <c r="F43" s="1415"/>
      <c r="G43" s="1415"/>
      <c r="H43" s="1415"/>
      <c r="I43" s="1415"/>
      <c r="J43" s="1415"/>
      <c r="K43" s="784"/>
      <c r="L43" s="1142"/>
      <c r="M43" s="1143"/>
      <c r="N43" s="1143"/>
      <c r="O43" s="1143"/>
      <c r="P43" s="3218" t="str">
        <f>A43</f>
        <v>估价对象XX用房的比较价值（楼面单价，元/平方米）</v>
      </c>
      <c r="Q43" s="3219"/>
      <c r="R43" s="3220" t="e">
        <f>IF(F1="售价",ROUND(AVERAGE(R42:V42),0),ROUND(AVERAGE(R42:V42),1))</f>
        <v>#DIV/0!</v>
      </c>
      <c r="S43" s="3220"/>
      <c r="T43" s="3220"/>
      <c r="U43" s="3220"/>
      <c r="V43" s="3220"/>
      <c r="W43" s="322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3"/>
      <c r="Q51" s="504"/>
    </row>
    <row r="52" spans="1:17" s="508" customFormat="1" ht="15">
      <c r="A52" s="505" t="s">
        <v>2538</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34" t="s">
        <v>2638</v>
      </c>
      <c r="AC4" s="3233" t="s">
        <v>2639</v>
      </c>
    </row>
    <row r="5" spans="1:29"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34"/>
      <c r="AC5" s="3234"/>
    </row>
    <row r="6" spans="1:29" ht="15.75" thickBot="1">
      <c r="A6" s="406"/>
      <c r="B6" s="407"/>
      <c r="C6" s="3253" t="s">
        <v>2536</v>
      </c>
      <c r="D6" s="3254"/>
      <c r="E6" s="3260" t="s">
        <v>2536</v>
      </c>
      <c r="F6" s="3261"/>
      <c r="G6" s="3253" t="s">
        <v>2536</v>
      </c>
      <c r="H6" s="3254"/>
      <c r="I6" s="3253" t="s">
        <v>2536</v>
      </c>
      <c r="J6" s="3254"/>
      <c r="K6" s="610" t="s">
        <v>2537</v>
      </c>
      <c r="L6" s="1129"/>
      <c r="M6" s="1130"/>
      <c r="N6" s="1130"/>
      <c r="O6" s="1130"/>
      <c r="P6" s="3244"/>
      <c r="Q6" s="3245"/>
      <c r="R6" s="3248"/>
      <c r="S6" s="3249"/>
      <c r="T6" s="3250"/>
      <c r="U6" s="3251"/>
      <c r="V6" s="3252"/>
      <c r="W6" s="3252"/>
      <c r="X6" s="1811"/>
      <c r="Y6" s="3250"/>
      <c r="Z6" s="3251"/>
      <c r="AA6" s="3235"/>
      <c r="AB6" s="3235"/>
      <c r="AC6" s="3235"/>
    </row>
    <row r="7" spans="1:29" s="117" customFormat="1" ht="15.75" thickBot="1">
      <c r="A7" s="408" t="s">
        <v>2538</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57" t="s">
        <v>2539</v>
      </c>
      <c r="Q7" s="3259"/>
      <c r="R7" s="769" t="s">
        <v>17</v>
      </c>
      <c r="S7" s="770">
        <f t="shared" ref="S7:S14" si="0">F7</f>
        <v>0</v>
      </c>
      <c r="T7" s="769" t="s">
        <v>17</v>
      </c>
      <c r="U7" s="770">
        <f t="shared" ref="U7:U14" si="1">H7</f>
        <v>0</v>
      </c>
      <c r="V7" s="769" t="s">
        <v>17</v>
      </c>
      <c r="W7" s="770">
        <f t="shared" ref="W7:W14" si="2">J7</f>
        <v>0</v>
      </c>
      <c r="X7" s="771"/>
      <c r="Y7" s="3257" t="s">
        <v>2539</v>
      </c>
      <c r="Z7" s="3258"/>
      <c r="AA7" s="772" t="e">
        <f>D7/F7</f>
        <v>#DIV/0!</v>
      </c>
      <c r="AB7" s="772" t="e">
        <f>D7/H7</f>
        <v>#DIV/0!</v>
      </c>
      <c r="AC7" s="772"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36" si="3">D8/F8</f>
        <v>#DIV/0!</v>
      </c>
      <c r="AB8" s="772" t="e">
        <f t="shared" ref="AB8:AB36" si="4">D8/H8</f>
        <v>#DIV/0!</v>
      </c>
      <c r="AC8" s="772"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1" t="s">
        <v>2545</v>
      </c>
      <c r="Q9" s="1793" t="str">
        <f t="shared" ref="Q9:Q14" si="6">B9</f>
        <v>用途</v>
      </c>
      <c r="R9" s="769" t="s">
        <v>17</v>
      </c>
      <c r="S9" s="770">
        <f t="shared" si="0"/>
        <v>100</v>
      </c>
      <c r="T9" s="769" t="s">
        <v>17</v>
      </c>
      <c r="U9" s="770">
        <f t="shared" si="1"/>
        <v>100</v>
      </c>
      <c r="V9" s="769" t="s">
        <v>17</v>
      </c>
      <c r="W9" s="770">
        <f t="shared" si="2"/>
        <v>100</v>
      </c>
      <c r="X9" s="771"/>
      <c r="Y9" s="3046" t="s">
        <v>2546</v>
      </c>
      <c r="Z9" s="55" t="str">
        <f t="shared" ref="Z9:Z14" si="7">Q9</f>
        <v>用途</v>
      </c>
      <c r="AA9" s="772">
        <f t="shared" si="3"/>
        <v>1</v>
      </c>
      <c r="AB9" s="772">
        <f t="shared" si="4"/>
        <v>1</v>
      </c>
      <c r="AC9" s="772">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1"/>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1"/>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1"/>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1"/>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256.5">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3" t="s">
        <v>2550</v>
      </c>
      <c r="Q14" s="1808" t="str">
        <f t="shared" si="6"/>
        <v>交通便捷度</v>
      </c>
      <c r="R14" s="773" t="s">
        <v>17</v>
      </c>
      <c r="S14" s="774">
        <f t="shared" si="0"/>
        <v>100</v>
      </c>
      <c r="T14" s="773" t="s">
        <v>17</v>
      </c>
      <c r="U14" s="774">
        <f t="shared" si="1"/>
        <v>100</v>
      </c>
      <c r="V14" s="773" t="s">
        <v>17</v>
      </c>
      <c r="W14" s="774">
        <f t="shared" si="2"/>
        <v>100</v>
      </c>
      <c r="X14" s="1811"/>
      <c r="Y14" s="3223"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4"/>
      <c r="Q15" s="1808"/>
      <c r="R15" s="773"/>
      <c r="S15" s="774"/>
      <c r="T15" s="773"/>
      <c r="U15" s="774"/>
      <c r="V15" s="773"/>
      <c r="W15" s="774"/>
      <c r="X15" s="1811"/>
      <c r="Y15" s="3224"/>
      <c r="Z15" s="1812"/>
      <c r="AA15" s="1809">
        <v>1</v>
      </c>
      <c r="AB15" s="1809">
        <v>1</v>
      </c>
      <c r="AC15" s="1809">
        <v>1</v>
      </c>
    </row>
    <row r="16" spans="1:29" ht="242.25">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4"/>
      <c r="Q16" s="1808" t="str">
        <f>B16</f>
        <v>公共配套设施</v>
      </c>
      <c r="R16" s="773" t="s">
        <v>17</v>
      </c>
      <c r="S16" s="774">
        <f>F16</f>
        <v>100</v>
      </c>
      <c r="T16" s="773" t="s">
        <v>17</v>
      </c>
      <c r="U16" s="774">
        <f>H16</f>
        <v>100</v>
      </c>
      <c r="V16" s="773" t="s">
        <v>17</v>
      </c>
      <c r="W16" s="774">
        <f>J16</f>
        <v>100</v>
      </c>
      <c r="X16" s="1811"/>
      <c r="Y16" s="3224"/>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24"/>
      <c r="Q17" s="1808"/>
      <c r="R17" s="773"/>
      <c r="S17" s="774"/>
      <c r="T17" s="773"/>
      <c r="U17" s="774"/>
      <c r="V17" s="773"/>
      <c r="W17" s="774"/>
      <c r="X17" s="1811"/>
      <c r="Y17" s="3224"/>
      <c r="Z17" s="1812"/>
      <c r="AA17" s="1809">
        <v>1</v>
      </c>
      <c r="AB17" s="1809">
        <v>1</v>
      </c>
      <c r="AC17" s="1809">
        <v>1</v>
      </c>
    </row>
    <row r="18" spans="1:29" ht="28.5">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4"/>
      <c r="Q18" s="1808" t="str">
        <f>B18</f>
        <v>基础设施水平</v>
      </c>
      <c r="R18" s="773" t="s">
        <v>17</v>
      </c>
      <c r="S18" s="774">
        <f>F18</f>
        <v>100</v>
      </c>
      <c r="T18" s="773" t="s">
        <v>17</v>
      </c>
      <c r="U18" s="774">
        <f>H18</f>
        <v>100</v>
      </c>
      <c r="V18" s="773" t="s">
        <v>17</v>
      </c>
      <c r="W18" s="774">
        <f>J18</f>
        <v>100</v>
      </c>
      <c r="X18" s="1811"/>
      <c r="Y18" s="3224"/>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24"/>
      <c r="Q19" s="1808"/>
      <c r="R19" s="773"/>
      <c r="S19" s="774"/>
      <c r="T19" s="773"/>
      <c r="U19" s="774"/>
      <c r="V19" s="773"/>
      <c r="W19" s="774"/>
      <c r="X19" s="1811"/>
      <c r="Y19" s="3224"/>
      <c r="Z19" s="1812"/>
      <c r="AA19" s="1809">
        <v>1</v>
      </c>
      <c r="AB19" s="1809">
        <v>1</v>
      </c>
      <c r="AC19" s="1809">
        <v>1</v>
      </c>
    </row>
    <row r="20" spans="1:29" ht="199.5">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4"/>
      <c r="Q20" s="1808" t="str">
        <f>B20</f>
        <v>自然及人文环境</v>
      </c>
      <c r="R20" s="773" t="s">
        <v>17</v>
      </c>
      <c r="S20" s="774">
        <f>F20</f>
        <v>100</v>
      </c>
      <c r="T20" s="773" t="s">
        <v>17</v>
      </c>
      <c r="U20" s="774">
        <f>H20</f>
        <v>100</v>
      </c>
      <c r="V20" s="773" t="s">
        <v>17</v>
      </c>
      <c r="W20" s="774">
        <f>J20</f>
        <v>100</v>
      </c>
      <c r="X20" s="1811"/>
      <c r="Y20" s="322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4"/>
      <c r="Q21" s="1808"/>
      <c r="R21" s="773"/>
      <c r="S21" s="774"/>
      <c r="T21" s="773"/>
      <c r="U21" s="774"/>
      <c r="V21" s="773"/>
      <c r="W21" s="774"/>
      <c r="X21" s="1811"/>
      <c r="Y21" s="3224"/>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4"/>
      <c r="Q22" s="1808" t="str">
        <f>B22</f>
        <v>楼层</v>
      </c>
      <c r="R22" s="773" t="s">
        <v>17</v>
      </c>
      <c r="S22" s="774">
        <f>F22</f>
        <v>100</v>
      </c>
      <c r="T22" s="773" t="s">
        <v>17</v>
      </c>
      <c r="U22" s="774">
        <f>H22</f>
        <v>100</v>
      </c>
      <c r="V22" s="773" t="s">
        <v>17</v>
      </c>
      <c r="W22" s="774">
        <f>J22</f>
        <v>100</v>
      </c>
      <c r="X22" s="1811"/>
      <c r="Y22" s="322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4"/>
      <c r="Q23" s="1808">
        <f>B23</f>
        <v>111</v>
      </c>
      <c r="R23" s="773" t="s">
        <v>17</v>
      </c>
      <c r="S23" s="774">
        <f>F23</f>
        <v>100</v>
      </c>
      <c r="T23" s="773" t="s">
        <v>17</v>
      </c>
      <c r="U23" s="774">
        <f>H23</f>
        <v>100</v>
      </c>
      <c r="V23" s="773" t="s">
        <v>17</v>
      </c>
      <c r="W23" s="774">
        <f>J23</f>
        <v>100</v>
      </c>
      <c r="X23" s="1811"/>
      <c r="Y23" s="322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4"/>
      <c r="Q24" s="1808">
        <f t="shared" ref="Q24:Q36" si="11">B24</f>
        <v>111</v>
      </c>
      <c r="R24" s="773" t="s">
        <v>17</v>
      </c>
      <c r="S24" s="774">
        <f>F24</f>
        <v>100</v>
      </c>
      <c r="T24" s="773" t="s">
        <v>17</v>
      </c>
      <c r="U24" s="774">
        <f>H24</f>
        <v>100</v>
      </c>
      <c r="V24" s="773" t="s">
        <v>17</v>
      </c>
      <c r="W24" s="774">
        <f>J24</f>
        <v>100</v>
      </c>
      <c r="X24" s="1811"/>
      <c r="Y24" s="322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4"/>
      <c r="Q25" s="1793">
        <f t="shared" si="11"/>
        <v>111</v>
      </c>
      <c r="R25" s="769" t="s">
        <v>17</v>
      </c>
      <c r="S25" s="770">
        <f>F25</f>
        <v>100</v>
      </c>
      <c r="T25" s="769" t="s">
        <v>17</v>
      </c>
      <c r="U25" s="770">
        <f>H25</f>
        <v>100</v>
      </c>
      <c r="V25" s="769" t="s">
        <v>17</v>
      </c>
      <c r="W25" s="770">
        <f>J25</f>
        <v>100</v>
      </c>
      <c r="X25" s="771"/>
      <c r="Y25" s="3224"/>
      <c r="Z25" s="55">
        <f>Q25</f>
        <v>111</v>
      </c>
      <c r="AA25" s="1809">
        <f>D25/F25</f>
        <v>1</v>
      </c>
      <c r="AB25" s="1809">
        <f>D25/H25</f>
        <v>1</v>
      </c>
      <c r="AC25" s="1809">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2"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8"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8"/>
      <c r="Q27" s="775" t="str">
        <f t="shared" si="11"/>
        <v>项目停车位配比</v>
      </c>
      <c r="R27" s="776" t="s">
        <v>17</v>
      </c>
      <c r="S27" s="777">
        <f t="shared" si="12"/>
        <v>100</v>
      </c>
      <c r="T27" s="776" t="s">
        <v>17</v>
      </c>
      <c r="U27" s="777">
        <f t="shared" si="13"/>
        <v>100</v>
      </c>
      <c r="V27" s="776" t="s">
        <v>17</v>
      </c>
      <c r="W27" s="777">
        <f t="shared" si="14"/>
        <v>100</v>
      </c>
      <c r="X27" s="778"/>
      <c r="Y27" s="3228"/>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8"/>
      <c r="Q28" s="1808" t="str">
        <f t="shared" si="11"/>
        <v>公共部分装修</v>
      </c>
      <c r="R28" s="773" t="s">
        <v>17</v>
      </c>
      <c r="S28" s="774">
        <f t="shared" si="12"/>
        <v>100</v>
      </c>
      <c r="T28" s="773" t="s">
        <v>17</v>
      </c>
      <c r="U28" s="774">
        <f t="shared" si="13"/>
        <v>100</v>
      </c>
      <c r="V28" s="773" t="s">
        <v>17</v>
      </c>
      <c r="W28" s="774">
        <f t="shared" si="14"/>
        <v>100</v>
      </c>
      <c r="X28" s="1811"/>
      <c r="Y28" s="3228"/>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8"/>
      <c r="Q29" s="1808" t="str">
        <f t="shared" si="11"/>
        <v>成新率</v>
      </c>
      <c r="R29" s="773" t="s">
        <v>17</v>
      </c>
      <c r="S29" s="774" t="e">
        <f t="shared" si="12"/>
        <v>#N/A</v>
      </c>
      <c r="T29" s="773" t="s">
        <v>17</v>
      </c>
      <c r="U29" s="774" t="e">
        <f t="shared" si="13"/>
        <v>#N/A</v>
      </c>
      <c r="V29" s="773" t="s">
        <v>17</v>
      </c>
      <c r="W29" s="774" t="e">
        <f t="shared" si="14"/>
        <v>#N/A</v>
      </c>
      <c r="X29" s="1811"/>
      <c r="Y29" s="3228"/>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8"/>
      <c r="Q30" s="1808" t="str">
        <f t="shared" si="11"/>
        <v>物业等级</v>
      </c>
      <c r="R30" s="773" t="s">
        <v>17</v>
      </c>
      <c r="S30" s="774">
        <f t="shared" si="12"/>
        <v>100</v>
      </c>
      <c r="T30" s="773" t="s">
        <v>17</v>
      </c>
      <c r="U30" s="774">
        <f t="shared" si="13"/>
        <v>100</v>
      </c>
      <c r="V30" s="773" t="s">
        <v>17</v>
      </c>
      <c r="W30" s="774">
        <f t="shared" si="14"/>
        <v>100</v>
      </c>
      <c r="X30" s="1811"/>
      <c r="Y30" s="3228"/>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8"/>
      <c r="Q31" s="1793" t="str">
        <f t="shared" si="11"/>
        <v>停车位面积</v>
      </c>
      <c r="R31" s="769" t="s">
        <v>17</v>
      </c>
      <c r="S31" s="770" t="e">
        <f t="shared" si="12"/>
        <v>#N/A</v>
      </c>
      <c r="T31" s="769" t="s">
        <v>17</v>
      </c>
      <c r="U31" s="770" t="e">
        <f t="shared" si="13"/>
        <v>#N/A</v>
      </c>
      <c r="V31" s="769" t="s">
        <v>17</v>
      </c>
      <c r="W31" s="770" t="e">
        <f t="shared" si="14"/>
        <v>#N/A</v>
      </c>
      <c r="X31" s="771"/>
      <c r="Y31" s="3228"/>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8" t="s">
        <v>2555</v>
      </c>
      <c r="Q32" s="1808" t="str">
        <f t="shared" si="11"/>
        <v>车位类型</v>
      </c>
      <c r="R32" s="773" t="s">
        <v>17</v>
      </c>
      <c r="S32" s="774">
        <f t="shared" si="12"/>
        <v>100</v>
      </c>
      <c r="T32" s="773" t="s">
        <v>17</v>
      </c>
      <c r="U32" s="774">
        <f t="shared" si="13"/>
        <v>100</v>
      </c>
      <c r="V32" s="773" t="s">
        <v>17</v>
      </c>
      <c r="W32" s="774">
        <f t="shared" si="14"/>
        <v>100</v>
      </c>
      <c r="X32" s="1811"/>
      <c r="Y32" s="3228"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8"/>
      <c r="Q33" s="1808" t="str">
        <f t="shared" si="11"/>
        <v>是否直接入户</v>
      </c>
      <c r="R33" s="773" t="s">
        <v>17</v>
      </c>
      <c r="S33" s="774">
        <f t="shared" si="12"/>
        <v>100</v>
      </c>
      <c r="T33" s="773" t="s">
        <v>17</v>
      </c>
      <c r="U33" s="774">
        <f t="shared" si="13"/>
        <v>100</v>
      </c>
      <c r="V33" s="773" t="s">
        <v>17</v>
      </c>
      <c r="W33" s="774">
        <f t="shared" si="14"/>
        <v>100</v>
      </c>
      <c r="X33" s="1811"/>
      <c r="Y33" s="322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8"/>
      <c r="Q34" s="1808">
        <f t="shared" si="11"/>
        <v>111</v>
      </c>
      <c r="R34" s="773" t="s">
        <v>17</v>
      </c>
      <c r="S34" s="774">
        <f t="shared" si="12"/>
        <v>100</v>
      </c>
      <c r="T34" s="773" t="s">
        <v>17</v>
      </c>
      <c r="U34" s="774">
        <f t="shared" si="13"/>
        <v>100</v>
      </c>
      <c r="V34" s="773" t="s">
        <v>17</v>
      </c>
      <c r="W34" s="774">
        <f t="shared" si="14"/>
        <v>100</v>
      </c>
      <c r="X34" s="1811"/>
      <c r="Y34" s="322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8"/>
      <c r="Q35" s="775">
        <f t="shared" si="11"/>
        <v>111</v>
      </c>
      <c r="R35" s="776" t="s">
        <v>17</v>
      </c>
      <c r="S35" s="777">
        <f t="shared" si="12"/>
        <v>100</v>
      </c>
      <c r="T35" s="776" t="s">
        <v>17</v>
      </c>
      <c r="U35" s="777">
        <f t="shared" si="13"/>
        <v>100</v>
      </c>
      <c r="V35" s="776" t="s">
        <v>17</v>
      </c>
      <c r="W35" s="777">
        <f t="shared" si="14"/>
        <v>100</v>
      </c>
      <c r="X35" s="778"/>
      <c r="Y35" s="3228"/>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8"/>
      <c r="Q36" s="1808">
        <f t="shared" si="11"/>
        <v>111</v>
      </c>
      <c r="R36" s="773" t="s">
        <v>17</v>
      </c>
      <c r="S36" s="774">
        <f t="shared" si="12"/>
        <v>100</v>
      </c>
      <c r="T36" s="773" t="s">
        <v>17</v>
      </c>
      <c r="U36" s="774">
        <f t="shared" si="13"/>
        <v>100</v>
      </c>
      <c r="V36" s="773" t="s">
        <v>17</v>
      </c>
      <c r="W36" s="774">
        <f t="shared" si="14"/>
        <v>100</v>
      </c>
      <c r="X36" s="1811"/>
      <c r="Y36" s="3228"/>
      <c r="Z36" s="1812">
        <f t="shared" si="15"/>
        <v>111</v>
      </c>
      <c r="AA36" s="1809">
        <f t="shared" si="3"/>
        <v>1</v>
      </c>
      <c r="AB36" s="1809">
        <f t="shared" si="4"/>
        <v>1</v>
      </c>
      <c r="AC36" s="1809">
        <f t="shared" si="5"/>
        <v>1</v>
      </c>
    </row>
    <row r="37" spans="1:29" ht="15">
      <c r="A37" s="479" t="s">
        <v>2710</v>
      </c>
      <c r="B37" s="2691" t="s">
        <v>2711</v>
      </c>
      <c r="C37" s="1405" t="s">
        <v>1</v>
      </c>
      <c r="D37" s="1406"/>
      <c r="E37" s="1407"/>
      <c r="F37" s="1408"/>
      <c r="G37" s="1409"/>
      <c r="H37" s="1410"/>
      <c r="I37" s="1407"/>
      <c r="J37" s="1410"/>
      <c r="K37" s="619"/>
      <c r="L37" s="1142"/>
      <c r="M37" s="1143"/>
      <c r="N37" s="1130"/>
      <c r="O37" s="1143"/>
      <c r="P37" s="3221" t="str">
        <f>A37</f>
        <v>成交单价</v>
      </c>
      <c r="Q37" s="3221"/>
      <c r="R37" s="3222">
        <f>E37</f>
        <v>0</v>
      </c>
      <c r="S37" s="3222"/>
      <c r="T37" s="3222">
        <f>G37</f>
        <v>0</v>
      </c>
      <c r="U37" s="3222"/>
      <c r="V37" s="3222">
        <f>I37</f>
        <v>0</v>
      </c>
      <c r="W37" s="3222"/>
      <c r="X37" s="758"/>
      <c r="Y37" s="780"/>
      <c r="Z37" s="758"/>
      <c r="AA37" s="758"/>
      <c r="AB37" s="758"/>
      <c r="AC37" s="758"/>
    </row>
    <row r="38" spans="1:29" ht="15.7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8"/>
      <c r="Y38" s="758"/>
      <c r="Z38" s="758"/>
      <c r="AA38" s="758"/>
      <c r="AB38" s="758"/>
      <c r="AC38" s="758"/>
    </row>
    <row r="39" spans="1:29" ht="15.75" thickBot="1">
      <c r="A39" s="492" t="s">
        <v>2713</v>
      </c>
      <c r="B39" s="493"/>
      <c r="C39" s="1415" t="e">
        <f>R39</f>
        <v>#DIV/0!</v>
      </c>
      <c r="D39" s="1415"/>
      <c r="E39" s="1415"/>
      <c r="F39" s="1415"/>
      <c r="G39" s="1415"/>
      <c r="H39" s="1415"/>
      <c r="I39" s="1415"/>
      <c r="J39" s="1415"/>
      <c r="K39" s="621"/>
      <c r="L39" s="1142"/>
      <c r="M39" s="1143"/>
      <c r="N39" s="1143"/>
      <c r="O39" s="1143"/>
      <c r="P39" s="3218" t="str">
        <f>A39</f>
        <v>估价对象XX用房的比较价值（楼面单价，元/平方米）</v>
      </c>
      <c r="Q39" s="3219"/>
      <c r="R39" s="3220" t="e">
        <f>IF(F1="售价",ROUND(AVERAGE(R38:V38),0),ROUND(AVERAGE(R38:V38),1))</f>
        <v>#DIV/0!</v>
      </c>
      <c r="S39" s="3220"/>
      <c r="T39" s="3220"/>
      <c r="U39" s="3220"/>
      <c r="V39" s="3220"/>
      <c r="W39" s="322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2718</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34" t="s">
        <v>2638</v>
      </c>
      <c r="AC4" s="3233" t="s">
        <v>2639</v>
      </c>
    </row>
    <row r="5" spans="1:29"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34"/>
      <c r="AC5" s="3234"/>
    </row>
    <row r="6" spans="1:29" ht="15.75" thickBot="1">
      <c r="A6" s="406"/>
      <c r="B6" s="407"/>
      <c r="C6" s="3253" t="s">
        <v>2536</v>
      </c>
      <c r="D6" s="3254"/>
      <c r="E6" s="3260" t="s">
        <v>2536</v>
      </c>
      <c r="F6" s="3261"/>
      <c r="G6" s="3253" t="s">
        <v>2536</v>
      </c>
      <c r="H6" s="3254"/>
      <c r="I6" s="3253" t="s">
        <v>2536</v>
      </c>
      <c r="J6" s="3254"/>
      <c r="K6" s="610" t="s">
        <v>2537</v>
      </c>
      <c r="L6" s="1129"/>
      <c r="M6" s="1130"/>
      <c r="N6" s="1130"/>
      <c r="O6" s="1130"/>
      <c r="P6" s="3244"/>
      <c r="Q6" s="3245"/>
      <c r="R6" s="3248"/>
      <c r="S6" s="3249"/>
      <c r="T6" s="3250"/>
      <c r="U6" s="3251"/>
      <c r="V6" s="3252"/>
      <c r="W6" s="3252"/>
      <c r="X6" s="1811"/>
      <c r="Y6" s="3250"/>
      <c r="Z6" s="3251"/>
      <c r="AA6" s="3235"/>
      <c r="AB6" s="3235"/>
      <c r="AC6" s="3235"/>
    </row>
    <row r="7" spans="1:29" s="117" customFormat="1" ht="15.75" thickBot="1">
      <c r="A7" s="408" t="s">
        <v>2538</v>
      </c>
      <c r="B7" s="409"/>
      <c r="C7" s="410">
        <f>'数据-取费表'!B2</f>
        <v>43718</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57" t="s">
        <v>2539</v>
      </c>
      <c r="Q7" s="3259"/>
      <c r="R7" s="769" t="s">
        <v>17</v>
      </c>
      <c r="S7" s="770">
        <f t="shared" ref="S7:S14" si="0">F7</f>
        <v>0</v>
      </c>
      <c r="T7" s="769" t="s">
        <v>17</v>
      </c>
      <c r="U7" s="770">
        <f t="shared" ref="U7:U14" si="1">H7</f>
        <v>0</v>
      </c>
      <c r="V7" s="769" t="s">
        <v>17</v>
      </c>
      <c r="W7" s="770">
        <f t="shared" ref="W7:W14" si="2">J7</f>
        <v>0</v>
      </c>
      <c r="X7" s="771"/>
      <c r="Y7" s="3257" t="s">
        <v>2539</v>
      </c>
      <c r="Z7" s="3258"/>
      <c r="AA7" s="772" t="e">
        <f>D7/F7</f>
        <v>#DIV/0!</v>
      </c>
      <c r="AB7" s="772" t="e">
        <f>D7/H7</f>
        <v>#DIV/0!</v>
      </c>
      <c r="AC7" s="772"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34" si="3">D8/F8</f>
        <v>#DIV/0!</v>
      </c>
      <c r="AB8" s="772" t="e">
        <f t="shared" ref="AB8:AB34" si="4">D8/H8</f>
        <v>#DIV/0!</v>
      </c>
      <c r="AC8" s="772"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1" t="s">
        <v>2545</v>
      </c>
      <c r="Q9" s="1793" t="str">
        <f t="shared" ref="Q9:Q14" si="6">B9</f>
        <v>用途</v>
      </c>
      <c r="R9" s="769" t="s">
        <v>17</v>
      </c>
      <c r="S9" s="770">
        <f t="shared" si="0"/>
        <v>100</v>
      </c>
      <c r="T9" s="769" t="s">
        <v>17</v>
      </c>
      <c r="U9" s="770">
        <f t="shared" si="1"/>
        <v>100</v>
      </c>
      <c r="V9" s="769" t="s">
        <v>17</v>
      </c>
      <c r="W9" s="770">
        <f t="shared" si="2"/>
        <v>100</v>
      </c>
      <c r="X9" s="771"/>
      <c r="Y9" s="3046" t="s">
        <v>2546</v>
      </c>
      <c r="Z9" s="55" t="str">
        <f t="shared" ref="Z9:Z14" si="7">Q9</f>
        <v>用途</v>
      </c>
      <c r="AA9" s="772">
        <f t="shared" si="3"/>
        <v>1</v>
      </c>
      <c r="AB9" s="772">
        <f t="shared" si="4"/>
        <v>1</v>
      </c>
      <c r="AC9" s="772">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1"/>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256.5">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3" t="s">
        <v>2550</v>
      </c>
      <c r="Q14" s="1808" t="str">
        <f t="shared" si="6"/>
        <v>交通便捷度</v>
      </c>
      <c r="R14" s="773" t="s">
        <v>17</v>
      </c>
      <c r="S14" s="774">
        <f t="shared" si="0"/>
        <v>100</v>
      </c>
      <c r="T14" s="773" t="s">
        <v>17</v>
      </c>
      <c r="U14" s="774">
        <f t="shared" si="1"/>
        <v>100</v>
      </c>
      <c r="V14" s="773" t="s">
        <v>17</v>
      </c>
      <c r="W14" s="774">
        <f t="shared" si="2"/>
        <v>100</v>
      </c>
      <c r="X14" s="1811"/>
      <c r="Y14" s="3223"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4"/>
      <c r="Q15" s="1808"/>
      <c r="R15" s="773"/>
      <c r="S15" s="774"/>
      <c r="T15" s="773"/>
      <c r="U15" s="774"/>
      <c r="V15" s="773"/>
      <c r="W15" s="774"/>
      <c r="X15" s="1811"/>
      <c r="Y15" s="3224"/>
      <c r="Z15" s="1812"/>
      <c r="AA15" s="1809">
        <v>1</v>
      </c>
      <c r="AB15" s="1809">
        <v>1</v>
      </c>
      <c r="AC15" s="1809">
        <v>1</v>
      </c>
    </row>
    <row r="16" spans="1:29" ht="242.25">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4"/>
      <c r="Q16" s="1808" t="str">
        <f>B16</f>
        <v>公共配套设施</v>
      </c>
      <c r="R16" s="773" t="s">
        <v>17</v>
      </c>
      <c r="S16" s="774">
        <f>F16</f>
        <v>100</v>
      </c>
      <c r="T16" s="773" t="s">
        <v>17</v>
      </c>
      <c r="U16" s="774">
        <f>H16</f>
        <v>100</v>
      </c>
      <c r="V16" s="773" t="s">
        <v>17</v>
      </c>
      <c r="W16" s="774">
        <f>J16</f>
        <v>100</v>
      </c>
      <c r="X16" s="1811"/>
      <c r="Y16" s="3224"/>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24"/>
      <c r="Q17" s="1808"/>
      <c r="R17" s="773"/>
      <c r="S17" s="774"/>
      <c r="T17" s="773"/>
      <c r="U17" s="774"/>
      <c r="V17" s="773"/>
      <c r="W17" s="774"/>
      <c r="X17" s="1811"/>
      <c r="Y17" s="3224"/>
      <c r="Z17" s="1812"/>
      <c r="AA17" s="1809">
        <v>1</v>
      </c>
      <c r="AB17" s="1809">
        <v>1</v>
      </c>
      <c r="AC17" s="1809">
        <v>1</v>
      </c>
    </row>
    <row r="18" spans="1:29" ht="28.5">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4"/>
      <c r="Q18" s="1808" t="str">
        <f>B18</f>
        <v>基础设施水平</v>
      </c>
      <c r="R18" s="773" t="s">
        <v>17</v>
      </c>
      <c r="S18" s="774">
        <f>F18</f>
        <v>100</v>
      </c>
      <c r="T18" s="773" t="s">
        <v>17</v>
      </c>
      <c r="U18" s="774">
        <f>H18</f>
        <v>100</v>
      </c>
      <c r="V18" s="773" t="s">
        <v>17</v>
      </c>
      <c r="W18" s="774">
        <f>J18</f>
        <v>100</v>
      </c>
      <c r="X18" s="1811"/>
      <c r="Y18" s="3224"/>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24"/>
      <c r="Q19" s="1808"/>
      <c r="R19" s="773"/>
      <c r="S19" s="774"/>
      <c r="T19" s="773"/>
      <c r="U19" s="774"/>
      <c r="V19" s="773"/>
      <c r="W19" s="774"/>
      <c r="X19" s="1811"/>
      <c r="Y19" s="3224"/>
      <c r="Z19" s="1812"/>
      <c r="AA19" s="1809">
        <v>1</v>
      </c>
      <c r="AB19" s="1809">
        <v>1</v>
      </c>
      <c r="AC19" s="1809">
        <v>1</v>
      </c>
    </row>
    <row r="20" spans="1:29" ht="199.5">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4"/>
      <c r="Q20" s="1808" t="str">
        <f>B20</f>
        <v>自然及人文环境</v>
      </c>
      <c r="R20" s="773" t="s">
        <v>17</v>
      </c>
      <c r="S20" s="774">
        <f>F20</f>
        <v>100</v>
      </c>
      <c r="T20" s="773" t="s">
        <v>17</v>
      </c>
      <c r="U20" s="774">
        <f>H20</f>
        <v>100</v>
      </c>
      <c r="V20" s="773" t="s">
        <v>17</v>
      </c>
      <c r="W20" s="774">
        <f>J20</f>
        <v>100</v>
      </c>
      <c r="X20" s="1811"/>
      <c r="Y20" s="322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4"/>
      <c r="Q21" s="1808"/>
      <c r="R21" s="773"/>
      <c r="S21" s="774"/>
      <c r="T21" s="773"/>
      <c r="U21" s="774"/>
      <c r="V21" s="773"/>
      <c r="W21" s="774"/>
      <c r="X21" s="1811"/>
      <c r="Y21" s="3224"/>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4"/>
      <c r="Q22" s="1808" t="str">
        <f>B22</f>
        <v>楼层</v>
      </c>
      <c r="R22" s="773" t="s">
        <v>17</v>
      </c>
      <c r="S22" s="774">
        <f>F22</f>
        <v>100</v>
      </c>
      <c r="T22" s="773" t="s">
        <v>17</v>
      </c>
      <c r="U22" s="774">
        <f>H22</f>
        <v>100</v>
      </c>
      <c r="V22" s="773" t="s">
        <v>17</v>
      </c>
      <c r="W22" s="774">
        <f>J22</f>
        <v>100</v>
      </c>
      <c r="X22" s="1811"/>
      <c r="Y22" s="3224"/>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4"/>
      <c r="Q23" s="1808">
        <f>B23</f>
        <v>111</v>
      </c>
      <c r="R23" s="773" t="s">
        <v>17</v>
      </c>
      <c r="S23" s="774">
        <f>F23</f>
        <v>100</v>
      </c>
      <c r="T23" s="773" t="s">
        <v>17</v>
      </c>
      <c r="U23" s="774">
        <f>H23</f>
        <v>100</v>
      </c>
      <c r="V23" s="773" t="s">
        <v>17</v>
      </c>
      <c r="W23" s="774">
        <f>J23</f>
        <v>100</v>
      </c>
      <c r="X23" s="1811"/>
      <c r="Y23" s="3224"/>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4"/>
      <c r="Q24" s="1808">
        <f t="shared" ref="Q24:Q34" si="11">B24</f>
        <v>111</v>
      </c>
      <c r="R24" s="773" t="s">
        <v>17</v>
      </c>
      <c r="S24" s="774">
        <f>F24</f>
        <v>100</v>
      </c>
      <c r="T24" s="773" t="s">
        <v>17</v>
      </c>
      <c r="U24" s="774">
        <f>H24</f>
        <v>100</v>
      </c>
      <c r="V24" s="773" t="s">
        <v>17</v>
      </c>
      <c r="W24" s="774">
        <f>J24</f>
        <v>100</v>
      </c>
      <c r="X24" s="1811"/>
      <c r="Y24" s="3224"/>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24"/>
      <c r="Q25" s="1793">
        <f t="shared" si="11"/>
        <v>111</v>
      </c>
      <c r="R25" s="769" t="s">
        <v>17</v>
      </c>
      <c r="S25" s="770">
        <f>F25</f>
        <v>100</v>
      </c>
      <c r="T25" s="769" t="s">
        <v>17</v>
      </c>
      <c r="U25" s="770">
        <f>H25</f>
        <v>100</v>
      </c>
      <c r="V25" s="769" t="s">
        <v>17</v>
      </c>
      <c r="W25" s="770">
        <f>J25</f>
        <v>100</v>
      </c>
      <c r="X25" s="771"/>
      <c r="Y25" s="3224"/>
      <c r="Z25" s="55">
        <f>Q25</f>
        <v>111</v>
      </c>
      <c r="AA25" s="1809">
        <f>D25/F25</f>
        <v>1</v>
      </c>
      <c r="AB25" s="1809">
        <f>D25/H25</f>
        <v>1</v>
      </c>
      <c r="AC25" s="1809">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82"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8"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8"/>
      <c r="Q27" s="775" t="str">
        <f t="shared" si="11"/>
        <v>成新率</v>
      </c>
      <c r="R27" s="776" t="s">
        <v>17</v>
      </c>
      <c r="S27" s="777" t="e">
        <f t="shared" si="12"/>
        <v>#N/A</v>
      </c>
      <c r="T27" s="776" t="s">
        <v>17</v>
      </c>
      <c r="U27" s="777" t="e">
        <f t="shared" si="13"/>
        <v>#N/A</v>
      </c>
      <c r="V27" s="776" t="s">
        <v>17</v>
      </c>
      <c r="W27" s="777" t="e">
        <f t="shared" si="14"/>
        <v>#N/A</v>
      </c>
      <c r="X27" s="778"/>
      <c r="Y27" s="3228"/>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8"/>
      <c r="Q28" s="1808" t="str">
        <f t="shared" si="11"/>
        <v>物业等级</v>
      </c>
      <c r="R28" s="773" t="s">
        <v>17</v>
      </c>
      <c r="S28" s="774">
        <f t="shared" si="12"/>
        <v>100</v>
      </c>
      <c r="T28" s="773" t="s">
        <v>17</v>
      </c>
      <c r="U28" s="774">
        <f t="shared" si="13"/>
        <v>100</v>
      </c>
      <c r="V28" s="773" t="s">
        <v>17</v>
      </c>
      <c r="W28" s="774">
        <f t="shared" si="14"/>
        <v>100</v>
      </c>
      <c r="X28" s="1811"/>
      <c r="Y28" s="3228"/>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8"/>
      <c r="Q29" s="1808" t="str">
        <f t="shared" si="11"/>
        <v>有无电梯</v>
      </c>
      <c r="R29" s="773" t="s">
        <v>17</v>
      </c>
      <c r="S29" s="774">
        <f t="shared" si="12"/>
        <v>100</v>
      </c>
      <c r="T29" s="773" t="s">
        <v>17</v>
      </c>
      <c r="U29" s="774">
        <f t="shared" si="13"/>
        <v>100</v>
      </c>
      <c r="V29" s="773" t="s">
        <v>17</v>
      </c>
      <c r="W29" s="774">
        <f t="shared" si="14"/>
        <v>100</v>
      </c>
      <c r="X29" s="1811"/>
      <c r="Y29" s="3228"/>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8"/>
      <c r="Q30" s="1808" t="str">
        <f t="shared" si="11"/>
        <v>建筑面积</v>
      </c>
      <c r="R30" s="773" t="s">
        <v>17</v>
      </c>
      <c r="S30" s="774" t="e">
        <f t="shared" si="12"/>
        <v>#N/A</v>
      </c>
      <c r="T30" s="773" t="s">
        <v>17</v>
      </c>
      <c r="U30" s="774" t="e">
        <f t="shared" si="13"/>
        <v>#N/A</v>
      </c>
      <c r="V30" s="773" t="s">
        <v>17</v>
      </c>
      <c r="W30" s="774" t="e">
        <f t="shared" si="14"/>
        <v>#N/A</v>
      </c>
      <c r="X30" s="1811"/>
      <c r="Y30" s="3228"/>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8"/>
      <c r="Q31" s="1793" t="str">
        <f t="shared" si="11"/>
        <v>是否封闭</v>
      </c>
      <c r="R31" s="769" t="s">
        <v>17</v>
      </c>
      <c r="S31" s="770">
        <f t="shared" si="12"/>
        <v>100</v>
      </c>
      <c r="T31" s="769" t="s">
        <v>17</v>
      </c>
      <c r="U31" s="770">
        <f t="shared" si="13"/>
        <v>100</v>
      </c>
      <c r="V31" s="769" t="s">
        <v>17</v>
      </c>
      <c r="W31" s="770">
        <f t="shared" si="14"/>
        <v>100</v>
      </c>
      <c r="X31" s="771"/>
      <c r="Y31" s="3228"/>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8" t="s">
        <v>2555</v>
      </c>
      <c r="Q32" s="1808">
        <f t="shared" si="11"/>
        <v>111</v>
      </c>
      <c r="R32" s="773" t="s">
        <v>17</v>
      </c>
      <c r="S32" s="774">
        <f t="shared" si="12"/>
        <v>100</v>
      </c>
      <c r="T32" s="773" t="s">
        <v>17</v>
      </c>
      <c r="U32" s="774">
        <f t="shared" si="13"/>
        <v>100</v>
      </c>
      <c r="V32" s="773" t="s">
        <v>17</v>
      </c>
      <c r="W32" s="774">
        <f t="shared" si="14"/>
        <v>100</v>
      </c>
      <c r="X32" s="1811"/>
      <c r="Y32" s="3228"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8"/>
      <c r="Q33" s="1808">
        <f t="shared" si="11"/>
        <v>111</v>
      </c>
      <c r="R33" s="773" t="s">
        <v>17</v>
      </c>
      <c r="S33" s="774">
        <f t="shared" si="12"/>
        <v>100</v>
      </c>
      <c r="T33" s="773" t="s">
        <v>17</v>
      </c>
      <c r="U33" s="774">
        <f t="shared" si="13"/>
        <v>100</v>
      </c>
      <c r="V33" s="773" t="s">
        <v>17</v>
      </c>
      <c r="W33" s="774">
        <f t="shared" si="14"/>
        <v>100</v>
      </c>
      <c r="X33" s="1811"/>
      <c r="Y33" s="3228"/>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28"/>
      <c r="Q34" s="1808">
        <f t="shared" si="11"/>
        <v>111</v>
      </c>
      <c r="R34" s="773" t="s">
        <v>17</v>
      </c>
      <c r="S34" s="774">
        <f t="shared" si="12"/>
        <v>100</v>
      </c>
      <c r="T34" s="773" t="s">
        <v>17</v>
      </c>
      <c r="U34" s="774">
        <f t="shared" si="13"/>
        <v>100</v>
      </c>
      <c r="V34" s="773" t="s">
        <v>17</v>
      </c>
      <c r="W34" s="774">
        <f t="shared" si="14"/>
        <v>100</v>
      </c>
      <c r="X34" s="1811"/>
      <c r="Y34" s="3228"/>
      <c r="Z34" s="1812">
        <f t="shared" si="15"/>
        <v>111</v>
      </c>
      <c r="AA34" s="1809">
        <f t="shared" si="3"/>
        <v>1</v>
      </c>
      <c r="AB34" s="1809">
        <f t="shared" si="4"/>
        <v>1</v>
      </c>
      <c r="AC34" s="1809">
        <f t="shared" si="5"/>
        <v>1</v>
      </c>
    </row>
    <row r="35" spans="1:29" ht="15">
      <c r="A35" s="479" t="s">
        <v>2567</v>
      </c>
      <c r="B35" s="480"/>
      <c r="C35" s="1405" t="s">
        <v>1</v>
      </c>
      <c r="D35" s="1406"/>
      <c r="E35" s="1407"/>
      <c r="F35" s="1408"/>
      <c r="G35" s="1409"/>
      <c r="H35" s="1410"/>
      <c r="I35" s="1407"/>
      <c r="J35" s="1410"/>
      <c r="K35" s="782"/>
      <c r="L35" s="1142"/>
      <c r="M35" s="1143"/>
      <c r="N35" s="1130"/>
      <c r="O35" s="1143"/>
      <c r="P35" s="3221" t="str">
        <f>A35</f>
        <v>成交单价（元/平方米）</v>
      </c>
      <c r="Q35" s="3221"/>
      <c r="R35" s="3222">
        <f>E35</f>
        <v>0</v>
      </c>
      <c r="S35" s="3222"/>
      <c r="T35" s="3222">
        <f>G35</f>
        <v>0</v>
      </c>
      <c r="U35" s="3222"/>
      <c r="V35" s="3222">
        <f>I35</f>
        <v>0</v>
      </c>
      <c r="W35" s="3222"/>
      <c r="X35" s="758"/>
      <c r="Y35" s="780"/>
      <c r="Z35" s="758"/>
      <c r="AA35" s="758"/>
      <c r="AB35" s="758"/>
      <c r="AC35" s="758"/>
    </row>
    <row r="36" spans="1:29" ht="15.7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8"/>
      <c r="Y36" s="758"/>
      <c r="Z36" s="758"/>
      <c r="AA36" s="758"/>
      <c r="AB36" s="758"/>
      <c r="AC36" s="758"/>
    </row>
    <row r="37" spans="1:29" ht="15.75" thickBot="1">
      <c r="A37" s="492" t="s">
        <v>2660</v>
      </c>
      <c r="B37" s="493"/>
      <c r="C37" s="1415" t="e">
        <f>R37</f>
        <v>#DIV/0!</v>
      </c>
      <c r="D37" s="1415"/>
      <c r="E37" s="1415"/>
      <c r="F37" s="1415"/>
      <c r="G37" s="1415"/>
      <c r="H37" s="1415"/>
      <c r="I37" s="1415"/>
      <c r="J37" s="1415"/>
      <c r="K37" s="784"/>
      <c r="L37" s="1142"/>
      <c r="M37" s="1143"/>
      <c r="N37" s="1143"/>
      <c r="O37" s="1143"/>
      <c r="P37" s="3218" t="str">
        <f>A37</f>
        <v>估价对象XX用房的比较价值（楼面单价，元/平方米）</v>
      </c>
      <c r="Q37" s="3219"/>
      <c r="R37" s="3220" t="e">
        <f>IF(F1="售价",ROUND(AVERAGE(R36:V36),0),ROUND(AVERAGE(R36:V36),1))</f>
        <v>#DIV/0!</v>
      </c>
      <c r="S37" s="3220"/>
      <c r="T37" s="3220"/>
      <c r="U37" s="3220"/>
      <c r="V37" s="3220"/>
      <c r="W37" s="322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3"/>
      <c r="Q45" s="504"/>
    </row>
    <row r="46" spans="1:29" s="508" customFormat="1" ht="15">
      <c r="A46" s="505" t="s">
        <v>2538</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34" t="s">
        <v>2638</v>
      </c>
      <c r="AC4" s="3233" t="s">
        <v>2639</v>
      </c>
    </row>
    <row r="5" spans="1:30"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34"/>
      <c r="AC5" s="3234"/>
    </row>
    <row r="6" spans="1:30" ht="15.75" thickBot="1">
      <c r="A6" s="406"/>
      <c r="B6" s="407"/>
      <c r="C6" s="3253" t="s">
        <v>2536</v>
      </c>
      <c r="D6" s="3254"/>
      <c r="E6" s="3260" t="s">
        <v>2536</v>
      </c>
      <c r="F6" s="3261"/>
      <c r="G6" s="3253" t="s">
        <v>2536</v>
      </c>
      <c r="H6" s="3254"/>
      <c r="I6" s="3253" t="s">
        <v>2536</v>
      </c>
      <c r="J6" s="3254"/>
      <c r="K6" s="610" t="s">
        <v>2537</v>
      </c>
      <c r="L6" s="1129"/>
      <c r="M6" s="1130"/>
      <c r="N6" s="1130"/>
      <c r="O6" s="1130"/>
      <c r="P6" s="3244"/>
      <c r="Q6" s="3245"/>
      <c r="R6" s="3248"/>
      <c r="S6" s="3249"/>
      <c r="T6" s="3250"/>
      <c r="U6" s="3251"/>
      <c r="V6" s="3252"/>
      <c r="W6" s="3252"/>
      <c r="X6" s="1811"/>
      <c r="Y6" s="3250"/>
      <c r="Z6" s="3251"/>
      <c r="AA6" s="3235"/>
      <c r="AB6" s="3235"/>
      <c r="AC6" s="3235"/>
    </row>
    <row r="7" spans="1:30" s="117" customFormat="1" ht="15.75" thickBot="1">
      <c r="A7" s="408" t="s">
        <v>2538</v>
      </c>
      <c r="B7" s="409"/>
      <c r="C7" s="410">
        <f>'数据-取费表'!B2</f>
        <v>43718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57" t="s">
        <v>2539</v>
      </c>
      <c r="Q7" s="3259"/>
      <c r="R7" s="769" t="s">
        <v>17</v>
      </c>
      <c r="S7" s="770">
        <f t="shared" ref="S7:S15" si="0">F7</f>
        <v>0</v>
      </c>
      <c r="T7" s="769" t="s">
        <v>17</v>
      </c>
      <c r="U7" s="770">
        <f t="shared" ref="U7:U15" si="1">H7</f>
        <v>0</v>
      </c>
      <c r="V7" s="769" t="s">
        <v>17</v>
      </c>
      <c r="W7" s="770">
        <f t="shared" ref="W7:W15" si="2">J7</f>
        <v>0</v>
      </c>
      <c r="X7" s="771"/>
      <c r="Y7" s="3257" t="s">
        <v>2539</v>
      </c>
      <c r="Z7" s="3258"/>
      <c r="AA7" s="772" t="e">
        <f>D7/F7</f>
        <v>#DIV/0!</v>
      </c>
      <c r="AB7" s="772" t="e">
        <f>D7/H7</f>
        <v>#DIV/0!</v>
      </c>
      <c r="AC7" s="772"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45" si="3">D8/F8</f>
        <v>#DIV/0!</v>
      </c>
      <c r="AB8" s="772" t="e">
        <f t="shared" ref="AB8:AB45" si="4">D8/H8</f>
        <v>#DIV/0!</v>
      </c>
      <c r="AC8" s="772"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21"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772">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21"/>
      <c r="Q10" s="1793" t="str">
        <f t="shared" si="6"/>
        <v>土地使用年限（年）</v>
      </c>
      <c r="R10" s="769" t="s">
        <v>17</v>
      </c>
      <c r="S10" s="770">
        <f t="shared" si="0"/>
        <v>106</v>
      </c>
      <c r="T10" s="769" t="s">
        <v>17</v>
      </c>
      <c r="U10" s="770">
        <f t="shared" si="1"/>
        <v>106</v>
      </c>
      <c r="V10" s="769" t="s">
        <v>17</v>
      </c>
      <c r="W10" s="770">
        <f t="shared" si="2"/>
        <v>106</v>
      </c>
      <c r="X10" s="771"/>
      <c r="Y10" s="3046"/>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1"/>
      <c r="Q12" s="1793"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3" t="s">
        <v>2550</v>
      </c>
      <c r="Q15" s="1808" t="str">
        <f t="shared" si="6"/>
        <v>居住社区成熟度</v>
      </c>
      <c r="R15" s="773" t="s">
        <v>17</v>
      </c>
      <c r="S15" s="774">
        <f t="shared" si="0"/>
        <v>100</v>
      </c>
      <c r="T15" s="773" t="s">
        <v>17</v>
      </c>
      <c r="U15" s="774">
        <f t="shared" si="1"/>
        <v>100</v>
      </c>
      <c r="V15" s="773" t="s">
        <v>17</v>
      </c>
      <c r="W15" s="774">
        <f t="shared" si="2"/>
        <v>100</v>
      </c>
      <c r="X15" s="1811"/>
      <c r="Y15" s="3223"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24"/>
      <c r="Q16" s="1808"/>
      <c r="R16" s="773"/>
      <c r="S16" s="774"/>
      <c r="T16" s="773"/>
      <c r="U16" s="774"/>
      <c r="V16" s="773"/>
      <c r="W16" s="774"/>
      <c r="X16" s="1811"/>
      <c r="Y16" s="3224"/>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4"/>
      <c r="Q17" s="1808" t="str">
        <f>B17</f>
        <v>商业繁华度</v>
      </c>
      <c r="R17" s="773" t="s">
        <v>17</v>
      </c>
      <c r="S17" s="774">
        <f>F17</f>
        <v>100</v>
      </c>
      <c r="T17" s="773" t="s">
        <v>17</v>
      </c>
      <c r="U17" s="774">
        <f>H17</f>
        <v>100</v>
      </c>
      <c r="V17" s="773" t="s">
        <v>17</v>
      </c>
      <c r="W17" s="774">
        <f>J17</f>
        <v>100</v>
      </c>
      <c r="X17" s="1811"/>
      <c r="Y17" s="3224"/>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24"/>
      <c r="Q18" s="1808"/>
      <c r="R18" s="773"/>
      <c r="S18" s="774"/>
      <c r="T18" s="773"/>
      <c r="U18" s="774"/>
      <c r="V18" s="773"/>
      <c r="W18" s="774"/>
      <c r="X18" s="1811"/>
      <c r="Y18" s="3224"/>
      <c r="Z18" s="1812"/>
      <c r="AA18" s="1809">
        <v>1</v>
      </c>
      <c r="AB18" s="1809">
        <v>1</v>
      </c>
      <c r="AC18" s="1809">
        <v>1</v>
      </c>
    </row>
    <row r="19" spans="1:29" ht="142.5">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4"/>
      <c r="Q19" s="1808" t="str">
        <f>B19</f>
        <v>办公集聚程度</v>
      </c>
      <c r="R19" s="773" t="s">
        <v>17</v>
      </c>
      <c r="S19" s="774">
        <f>F19</f>
        <v>100</v>
      </c>
      <c r="T19" s="773" t="s">
        <v>17</v>
      </c>
      <c r="U19" s="774">
        <f>H19</f>
        <v>100</v>
      </c>
      <c r="V19" s="773" t="s">
        <v>17</v>
      </c>
      <c r="W19" s="774">
        <f>J19</f>
        <v>100</v>
      </c>
      <c r="X19" s="1811"/>
      <c r="Y19" s="3224"/>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24"/>
      <c r="Q20" s="1808"/>
      <c r="R20" s="773"/>
      <c r="S20" s="774"/>
      <c r="T20" s="773"/>
      <c r="U20" s="774"/>
      <c r="V20" s="773"/>
      <c r="W20" s="774"/>
      <c r="X20" s="1811"/>
      <c r="Y20" s="3224"/>
      <c r="Z20" s="1812"/>
      <c r="AA20" s="1809">
        <v>1</v>
      </c>
      <c r="AB20" s="1809">
        <v>1</v>
      </c>
      <c r="AC20" s="1809">
        <v>1</v>
      </c>
    </row>
    <row r="21" spans="1:29" ht="256.5">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4"/>
      <c r="Q21" s="1808" t="str">
        <f>B21</f>
        <v>交通便捷度</v>
      </c>
      <c r="R21" s="773" t="s">
        <v>17</v>
      </c>
      <c r="S21" s="774">
        <f>F21</f>
        <v>100</v>
      </c>
      <c r="T21" s="773" t="s">
        <v>17</v>
      </c>
      <c r="U21" s="774">
        <f>H21</f>
        <v>100</v>
      </c>
      <c r="V21" s="773" t="s">
        <v>17</v>
      </c>
      <c r="W21" s="774">
        <f>J21</f>
        <v>100</v>
      </c>
      <c r="X21" s="1811"/>
      <c r="Y21" s="3224"/>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24"/>
      <c r="Q22" s="1808"/>
      <c r="R22" s="773"/>
      <c r="S22" s="774"/>
      <c r="T22" s="773"/>
      <c r="U22" s="774"/>
      <c r="V22" s="773"/>
      <c r="W22" s="774"/>
      <c r="X22" s="1811"/>
      <c r="Y22" s="3224"/>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4"/>
      <c r="Q23" s="1808" t="str">
        <f t="shared" ref="Q23:Q37" si="8">B23</f>
        <v>区域土地利用方向</v>
      </c>
      <c r="R23" s="773" t="s">
        <v>17</v>
      </c>
      <c r="S23" s="774">
        <f>F23</f>
        <v>100</v>
      </c>
      <c r="T23" s="773" t="s">
        <v>17</v>
      </c>
      <c r="U23" s="774">
        <f>H23</f>
        <v>100</v>
      </c>
      <c r="V23" s="773" t="s">
        <v>17</v>
      </c>
      <c r="W23" s="774">
        <f>J23</f>
        <v>100</v>
      </c>
      <c r="X23" s="1811"/>
      <c r="Y23" s="3224"/>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24"/>
      <c r="Q24" s="1808"/>
      <c r="R24" s="773"/>
      <c r="S24" s="774"/>
      <c r="T24" s="773"/>
      <c r="U24" s="774"/>
      <c r="V24" s="773"/>
      <c r="W24" s="774"/>
      <c r="X24" s="1811"/>
      <c r="Y24" s="3224"/>
      <c r="Z24" s="1812"/>
      <c r="AA24" s="1809"/>
      <c r="AB24" s="1809"/>
      <c r="AC24" s="1809"/>
    </row>
    <row r="25" spans="1:29" ht="199.5">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4"/>
      <c r="Q25" s="1808" t="str">
        <f t="shared" si="8"/>
        <v>自然及人文环境状况</v>
      </c>
      <c r="R25" s="773" t="s">
        <v>17</v>
      </c>
      <c r="S25" s="774">
        <f>F25</f>
        <v>100</v>
      </c>
      <c r="T25" s="773" t="s">
        <v>17</v>
      </c>
      <c r="U25" s="774">
        <f>H25</f>
        <v>100</v>
      </c>
      <c r="V25" s="773" t="s">
        <v>17</v>
      </c>
      <c r="W25" s="774">
        <f>J25</f>
        <v>100</v>
      </c>
      <c r="X25" s="1811"/>
      <c r="Y25" s="3224"/>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24"/>
      <c r="Q26" s="1808"/>
      <c r="R26" s="773"/>
      <c r="S26" s="774"/>
      <c r="T26" s="773"/>
      <c r="U26" s="774"/>
      <c r="V26" s="773"/>
      <c r="W26" s="774"/>
      <c r="X26" s="1811"/>
      <c r="Y26" s="3224"/>
      <c r="Z26" s="1812"/>
      <c r="AA26" s="1809">
        <v>1</v>
      </c>
      <c r="AB26" s="1809">
        <v>1</v>
      </c>
      <c r="AC26" s="1809">
        <v>1</v>
      </c>
    </row>
    <row r="27" spans="1:29" s="117" customFormat="1" ht="242.25">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4"/>
      <c r="Q27" s="1793" t="str">
        <f t="shared" si="8"/>
        <v>公共配套设施</v>
      </c>
      <c r="R27" s="769" t="s">
        <v>17</v>
      </c>
      <c r="S27" s="770">
        <f>F27</f>
        <v>100</v>
      </c>
      <c r="T27" s="769" t="s">
        <v>17</v>
      </c>
      <c r="U27" s="770">
        <f>H27</f>
        <v>100</v>
      </c>
      <c r="V27" s="769" t="s">
        <v>17</v>
      </c>
      <c r="W27" s="770">
        <f>J27</f>
        <v>100</v>
      </c>
      <c r="X27" s="771"/>
      <c r="Y27" s="3224"/>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24"/>
      <c r="Q28" s="1793"/>
      <c r="R28" s="769"/>
      <c r="S28" s="770"/>
      <c r="T28" s="769"/>
      <c r="U28" s="770"/>
      <c r="V28" s="769"/>
      <c r="W28" s="770"/>
      <c r="X28" s="771"/>
      <c r="Y28" s="3224"/>
      <c r="Z28" s="55"/>
      <c r="AA28" s="1809">
        <v>1</v>
      </c>
      <c r="AB28" s="1809">
        <v>1</v>
      </c>
      <c r="AC28" s="1809">
        <v>1</v>
      </c>
    </row>
    <row r="29" spans="1:29" s="117" customFormat="1" ht="28.5">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4"/>
      <c r="Q29" s="1793" t="str">
        <f t="shared" ref="Q29" si="9">B29</f>
        <v>基础设施水平</v>
      </c>
      <c r="R29" s="769" t="s">
        <v>17</v>
      </c>
      <c r="S29" s="770">
        <f>F29</f>
        <v>100</v>
      </c>
      <c r="T29" s="769" t="s">
        <v>17</v>
      </c>
      <c r="U29" s="770">
        <f>H29</f>
        <v>100</v>
      </c>
      <c r="V29" s="769" t="s">
        <v>17</v>
      </c>
      <c r="W29" s="770">
        <f>J29</f>
        <v>100</v>
      </c>
      <c r="X29" s="771"/>
      <c r="Y29" s="3224"/>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24"/>
      <c r="Q30" s="1793"/>
      <c r="R30" s="769"/>
      <c r="S30" s="770"/>
      <c r="T30" s="769"/>
      <c r="U30" s="770"/>
      <c r="V30" s="769"/>
      <c r="W30" s="770"/>
      <c r="X30" s="771"/>
      <c r="Y30" s="3224"/>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4"/>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4"/>
      <c r="Z31" s="1812" t="str">
        <f t="shared" ref="Z31:Z45" si="13">Q31</f>
        <v>临街状况</v>
      </c>
      <c r="AA31" s="1809">
        <f t="shared" si="3"/>
        <v>1</v>
      </c>
      <c r="AB31" s="1809">
        <f t="shared" si="4"/>
        <v>1</v>
      </c>
      <c r="AC31" s="1809">
        <f t="shared" si="5"/>
        <v>1</v>
      </c>
    </row>
    <row r="32" spans="1:29" ht="27">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4"/>
      <c r="Q32" s="1808" t="str">
        <f t="shared" si="8"/>
        <v>毗邻道路的类型与等级</v>
      </c>
      <c r="R32" s="773" t="s">
        <v>17</v>
      </c>
      <c r="S32" s="774">
        <f t="shared" si="10"/>
        <v>100</v>
      </c>
      <c r="T32" s="773" t="s">
        <v>17</v>
      </c>
      <c r="U32" s="774">
        <f t="shared" si="11"/>
        <v>100</v>
      </c>
      <c r="V32" s="773" t="s">
        <v>17</v>
      </c>
      <c r="W32" s="774">
        <f t="shared" si="12"/>
        <v>100</v>
      </c>
      <c r="X32" s="1811"/>
      <c r="Y32" s="3224"/>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24"/>
      <c r="Q33" s="1808"/>
      <c r="R33" s="773"/>
      <c r="S33" s="774"/>
      <c r="T33" s="773"/>
      <c r="U33" s="774"/>
      <c r="V33" s="773"/>
      <c r="W33" s="774"/>
      <c r="X33" s="1811"/>
      <c r="Y33" s="3224"/>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4"/>
      <c r="Q34" s="1808" t="str">
        <f t="shared" si="8"/>
        <v>土地级别</v>
      </c>
      <c r="R34" s="773" t="s">
        <v>17</v>
      </c>
      <c r="S34" s="774">
        <f t="shared" si="10"/>
        <v>100</v>
      </c>
      <c r="T34" s="773" t="s">
        <v>17</v>
      </c>
      <c r="U34" s="774">
        <f t="shared" si="11"/>
        <v>100</v>
      </c>
      <c r="V34" s="773" t="s">
        <v>17</v>
      </c>
      <c r="W34" s="774">
        <f t="shared" si="12"/>
        <v>100</v>
      </c>
      <c r="X34" s="1811"/>
      <c r="Y34" s="3224"/>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4"/>
      <c r="Q35" s="1808">
        <f t="shared" si="8"/>
        <v>111</v>
      </c>
      <c r="R35" s="773" t="s">
        <v>17</v>
      </c>
      <c r="S35" s="774">
        <f t="shared" si="10"/>
        <v>100</v>
      </c>
      <c r="T35" s="773" t="s">
        <v>17</v>
      </c>
      <c r="U35" s="774">
        <f t="shared" si="11"/>
        <v>100</v>
      </c>
      <c r="V35" s="773" t="s">
        <v>17</v>
      </c>
      <c r="W35" s="774">
        <f t="shared" si="12"/>
        <v>100</v>
      </c>
      <c r="X35" s="1811"/>
      <c r="Y35" s="3224"/>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2" t="s">
        <v>2555</v>
      </c>
      <c r="Q36" s="1808">
        <f t="shared" si="8"/>
        <v>111</v>
      </c>
      <c r="R36" s="773" t="s">
        <v>17</v>
      </c>
      <c r="S36" s="774">
        <f t="shared" si="10"/>
        <v>100</v>
      </c>
      <c r="T36" s="773" t="s">
        <v>17</v>
      </c>
      <c r="U36" s="774">
        <f t="shared" si="11"/>
        <v>100</v>
      </c>
      <c r="V36" s="773" t="s">
        <v>17</v>
      </c>
      <c r="W36" s="774">
        <f t="shared" si="12"/>
        <v>100</v>
      </c>
      <c r="X36" s="1811"/>
      <c r="Y36" s="3228" t="s">
        <v>2555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8"/>
      <c r="Q37" s="1808">
        <f t="shared" si="8"/>
        <v>111</v>
      </c>
      <c r="R37" s="776" t="s">
        <v>17</v>
      </c>
      <c r="S37" s="777">
        <f t="shared" si="10"/>
        <v>100</v>
      </c>
      <c r="T37" s="776" t="s">
        <v>17</v>
      </c>
      <c r="U37" s="777">
        <f t="shared" si="11"/>
        <v>100</v>
      </c>
      <c r="V37" s="776" t="s">
        <v>17</v>
      </c>
      <c r="W37" s="777">
        <f t="shared" si="12"/>
        <v>100</v>
      </c>
      <c r="X37" s="778"/>
      <c r="Y37" s="3228"/>
      <c r="Z37" s="779">
        <f t="shared" si="13"/>
        <v>111</v>
      </c>
      <c r="AA37" s="1809">
        <f t="shared" si="3"/>
        <v>1</v>
      </c>
      <c r="AB37" s="1809">
        <f t="shared" si="4"/>
        <v>1</v>
      </c>
      <c r="AC37" s="1809">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8"/>
      <c r="Q38" s="1808" t="str">
        <f>B38</f>
        <v>宗地面积</v>
      </c>
      <c r="R38" s="773" t="s">
        <v>17</v>
      </c>
      <c r="S38" s="774" t="e">
        <f t="shared" si="10"/>
        <v>#N/A</v>
      </c>
      <c r="T38" s="773" t="s">
        <v>17</v>
      </c>
      <c r="U38" s="774" t="e">
        <f t="shared" si="11"/>
        <v>#N/A</v>
      </c>
      <c r="V38" s="773" t="s">
        <v>17</v>
      </c>
      <c r="W38" s="774" t="e">
        <f t="shared" si="12"/>
        <v>#N/A</v>
      </c>
      <c r="X38" s="1811"/>
      <c r="Y38" s="3228"/>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28"/>
      <c r="Q39" s="1808" t="str">
        <f t="shared" ref="Q39:Q45" si="14">B39</f>
        <v>宗地形状</v>
      </c>
      <c r="R39" s="773" t="s">
        <v>17</v>
      </c>
      <c r="S39" s="774">
        <f t="shared" si="10"/>
        <v>100</v>
      </c>
      <c r="T39" s="773" t="s">
        <v>17</v>
      </c>
      <c r="U39" s="774">
        <f t="shared" si="11"/>
        <v>100</v>
      </c>
      <c r="V39" s="773" t="s">
        <v>17</v>
      </c>
      <c r="W39" s="774">
        <f t="shared" si="12"/>
        <v>100</v>
      </c>
      <c r="X39" s="1811"/>
      <c r="Y39" s="3228"/>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28"/>
      <c r="Q40" s="1808" t="str">
        <f t="shared" si="14"/>
        <v>临街宽度及深度</v>
      </c>
      <c r="R40" s="773" t="s">
        <v>17</v>
      </c>
      <c r="S40" s="774">
        <f t="shared" si="10"/>
        <v>100</v>
      </c>
      <c r="T40" s="773" t="s">
        <v>17</v>
      </c>
      <c r="U40" s="774">
        <f t="shared" si="11"/>
        <v>100</v>
      </c>
      <c r="V40" s="773" t="s">
        <v>17</v>
      </c>
      <c r="W40" s="774">
        <f t="shared" si="12"/>
        <v>100</v>
      </c>
      <c r="X40" s="1811"/>
      <c r="Y40" s="3228"/>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28"/>
      <c r="Q41" s="1808" t="str">
        <f t="shared" si="14"/>
        <v>宗地开发程度</v>
      </c>
      <c r="R41" s="769" t="s">
        <v>17</v>
      </c>
      <c r="S41" s="770">
        <f t="shared" si="10"/>
        <v>100</v>
      </c>
      <c r="T41" s="769" t="s">
        <v>17</v>
      </c>
      <c r="U41" s="770">
        <f t="shared" si="11"/>
        <v>100</v>
      </c>
      <c r="V41" s="769" t="s">
        <v>17</v>
      </c>
      <c r="W41" s="770">
        <f t="shared" si="12"/>
        <v>100</v>
      </c>
      <c r="X41" s="771"/>
      <c r="Y41" s="3228"/>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28" t="s">
        <v>2555</v>
      </c>
      <c r="Q42" s="1808" t="str">
        <f t="shared" si="14"/>
        <v>工程地质条件</v>
      </c>
      <c r="R42" s="773" t="s">
        <v>17</v>
      </c>
      <c r="S42" s="774">
        <f t="shared" si="10"/>
        <v>100</v>
      </c>
      <c r="T42" s="773" t="s">
        <v>17</v>
      </c>
      <c r="U42" s="774">
        <f t="shared" si="11"/>
        <v>100</v>
      </c>
      <c r="V42" s="773" t="s">
        <v>17</v>
      </c>
      <c r="W42" s="774">
        <f t="shared" si="12"/>
        <v>100</v>
      </c>
      <c r="X42" s="1811"/>
      <c r="Y42" s="3228"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8"/>
      <c r="Q43" s="1808">
        <f t="shared" si="14"/>
        <v>111</v>
      </c>
      <c r="R43" s="773" t="s">
        <v>17</v>
      </c>
      <c r="S43" s="774">
        <f t="shared" si="10"/>
        <v>100</v>
      </c>
      <c r="T43" s="773" t="s">
        <v>17</v>
      </c>
      <c r="U43" s="774">
        <f t="shared" si="11"/>
        <v>100</v>
      </c>
      <c r="V43" s="773" t="s">
        <v>17</v>
      </c>
      <c r="W43" s="774">
        <f t="shared" si="12"/>
        <v>100</v>
      </c>
      <c r="X43" s="1811"/>
      <c r="Y43" s="3228"/>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8"/>
      <c r="Q44" s="1808">
        <f t="shared" si="14"/>
        <v>111</v>
      </c>
      <c r="R44" s="773" t="s">
        <v>17</v>
      </c>
      <c r="S44" s="774">
        <f t="shared" si="10"/>
        <v>100</v>
      </c>
      <c r="T44" s="773" t="s">
        <v>17</v>
      </c>
      <c r="U44" s="774">
        <f t="shared" si="11"/>
        <v>100</v>
      </c>
      <c r="V44" s="773" t="s">
        <v>17</v>
      </c>
      <c r="W44" s="774">
        <f t="shared" si="12"/>
        <v>100</v>
      </c>
      <c r="X44" s="1811"/>
      <c r="Y44" s="3228"/>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8"/>
      <c r="Q45" s="1808">
        <f t="shared" si="14"/>
        <v>111</v>
      </c>
      <c r="R45" s="776" t="s">
        <v>17</v>
      </c>
      <c r="S45" s="777">
        <f t="shared" si="10"/>
        <v>100</v>
      </c>
      <c r="T45" s="776" t="s">
        <v>17</v>
      </c>
      <c r="U45" s="777">
        <f t="shared" si="11"/>
        <v>100</v>
      </c>
      <c r="V45" s="776" t="s">
        <v>17</v>
      </c>
      <c r="W45" s="777">
        <f t="shared" si="12"/>
        <v>100</v>
      </c>
      <c r="X45" s="778"/>
      <c r="Y45" s="3228"/>
      <c r="Z45" s="779">
        <f t="shared" si="13"/>
        <v>111</v>
      </c>
      <c r="AA45" s="1809">
        <f t="shared" si="3"/>
        <v>1</v>
      </c>
      <c r="AB45" s="1809">
        <f t="shared" si="4"/>
        <v>1</v>
      </c>
      <c r="AC45" s="1809">
        <f t="shared" si="5"/>
        <v>1</v>
      </c>
    </row>
    <row r="46" spans="1:29" ht="15">
      <c r="A46" s="479" t="s">
        <v>2710</v>
      </c>
      <c r="B46" s="2700" t="s">
        <v>2746</v>
      </c>
      <c r="C46" s="682" t="s">
        <v>1</v>
      </c>
      <c r="D46" s="481"/>
      <c r="E46" s="482"/>
      <c r="F46" s="483"/>
      <c r="G46" s="484"/>
      <c r="H46" s="485"/>
      <c r="I46" s="482"/>
      <c r="J46" s="485"/>
      <c r="K46" s="782"/>
      <c r="L46" s="1142"/>
      <c r="M46" s="1143"/>
      <c r="N46" s="1130"/>
      <c r="O46" s="1143"/>
      <c r="P46" s="3221" t="str">
        <f>A46</f>
        <v>成交单价</v>
      </c>
      <c r="Q46" s="3221"/>
      <c r="R46" s="3252">
        <f>E46</f>
        <v>0</v>
      </c>
      <c r="S46" s="3252"/>
      <c r="T46" s="3252">
        <f>G46</f>
        <v>0</v>
      </c>
      <c r="U46" s="3252"/>
      <c r="V46" s="3252">
        <f>I46</f>
        <v>0</v>
      </c>
      <c r="W46" s="3252"/>
      <c r="X46" s="758"/>
      <c r="Y46" s="780"/>
      <c r="Z46" s="758"/>
      <c r="AA46" s="758"/>
      <c r="AB46" s="758"/>
      <c r="AC46" s="758"/>
    </row>
    <row r="47" spans="1:29" ht="15.7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21" t="str">
        <f>A47</f>
        <v>比较价值（元/平方米）</v>
      </c>
      <c r="Q47" s="3221"/>
      <c r="R47" s="3283" t="e">
        <f>ROUND(PRODUCT(R46,AA7:AA45),0)</f>
        <v>#DIV/0!</v>
      </c>
      <c r="S47" s="3283"/>
      <c r="T47" s="3283" t="e">
        <f>ROUND(PRODUCT(T46,AB7:AB45),0)</f>
        <v>#DIV/0!</v>
      </c>
      <c r="U47" s="3283"/>
      <c r="V47" s="3283" t="e">
        <f>ROUND(PRODUCT(V46,AC7:AC45),0)</f>
        <v>#DIV/0!</v>
      </c>
      <c r="W47" s="3283"/>
      <c r="X47" s="758"/>
      <c r="Y47" s="758"/>
      <c r="Z47" s="758"/>
      <c r="AA47" s="758"/>
      <c r="AB47" s="758"/>
      <c r="AC47" s="758"/>
    </row>
    <row r="48" spans="1:29" ht="15.75" thickBot="1">
      <c r="A48" s="492" t="s">
        <v>2747</v>
      </c>
      <c r="B48" s="493"/>
      <c r="C48" s="494" t="e">
        <f>R48</f>
        <v>#DIV/0!</v>
      </c>
      <c r="D48" s="494"/>
      <c r="E48" s="494"/>
      <c r="F48" s="494"/>
      <c r="G48" s="494"/>
      <c r="H48" s="494"/>
      <c r="I48" s="494"/>
      <c r="J48" s="494"/>
      <c r="K48" s="784"/>
      <c r="L48" s="1142"/>
      <c r="M48" s="1143"/>
      <c r="N48" s="1143"/>
      <c r="O48" s="1143"/>
      <c r="P48" s="3218" t="str">
        <f>A48</f>
        <v>估价对象XX用房的比较价值（楼面单价，元/平方米）</v>
      </c>
      <c r="Q48" s="3219"/>
      <c r="R48" s="3284" t="e">
        <f>ROUND(AVERAGE(R47:V47),0)</f>
        <v>#DIV/0!</v>
      </c>
      <c r="S48" s="3284"/>
      <c r="T48" s="3284"/>
      <c r="U48" s="3284"/>
      <c r="V48" s="3284"/>
      <c r="W48" s="328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36" t="s">
        <v>2754</v>
      </c>
      <c r="H55" s="3285"/>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435.22</v>
      </c>
      <c r="F56" s="1102" t="e">
        <f t="shared" ref="F56:F65" si="15">ROUND(B56*E56/10000,0)</f>
        <v>#DIV/0!</v>
      </c>
      <c r="G56" s="3232"/>
      <c r="H56" s="3221"/>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86"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86"/>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86"/>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86"/>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435.22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2664</v>
      </c>
      <c r="B69" s="758"/>
      <c r="C69" s="763"/>
      <c r="D69" s="763"/>
      <c r="E69" s="763"/>
      <c r="F69" s="764"/>
      <c r="G69" s="764"/>
      <c r="H69" s="763"/>
      <c r="I69" s="763"/>
      <c r="J69" s="1158"/>
      <c r="K69" s="1159"/>
      <c r="L69" s="1160"/>
      <c r="M69" s="1158"/>
      <c r="N69" s="1158"/>
      <c r="O69" s="1158"/>
      <c r="P69" s="503"/>
      <c r="Q69" s="504"/>
    </row>
    <row r="70" spans="1:17" s="508" customFormat="1" ht="15">
      <c r="A70" s="2707" t="s">
        <v>2772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36" t="s">
        <v>2636</v>
      </c>
      <c r="D4" s="3237"/>
      <c r="E4" s="3238" t="s">
        <v>2637</v>
      </c>
      <c r="F4" s="3239"/>
      <c r="G4" s="3236" t="s">
        <v>2638</v>
      </c>
      <c r="H4" s="3237"/>
      <c r="I4" s="3236" t="s">
        <v>2639</v>
      </c>
      <c r="J4" s="3237"/>
      <c r="K4" s="610" t="s">
        <v>2640</v>
      </c>
      <c r="L4" s="1129"/>
      <c r="M4" s="1130"/>
      <c r="N4" s="1130"/>
      <c r="O4" s="1130"/>
      <c r="P4" s="3240" t="s">
        <v>2641</v>
      </c>
      <c r="Q4" s="3241"/>
      <c r="R4" s="3246" t="s">
        <v>2637</v>
      </c>
      <c r="S4" s="3247"/>
      <c r="T4" s="3246" t="s">
        <v>2638</v>
      </c>
      <c r="U4" s="3247"/>
      <c r="V4" s="3252" t="s">
        <v>2639</v>
      </c>
      <c r="W4" s="3252"/>
      <c r="X4" s="1811"/>
      <c r="Y4" s="3246" t="s">
        <v>2641</v>
      </c>
      <c r="Z4" s="3247"/>
      <c r="AA4" s="3233" t="s">
        <v>2637</v>
      </c>
      <c r="AB4" s="3234" t="s">
        <v>2638</v>
      </c>
      <c r="AC4" s="3233" t="s">
        <v>2639</v>
      </c>
    </row>
    <row r="5" spans="1:29" ht="15">
      <c r="A5" s="404"/>
      <c r="B5" s="405"/>
      <c r="C5" s="3255" t="s">
        <v>2532</v>
      </c>
      <c r="D5" s="3256"/>
      <c r="E5" s="3262" t="s">
        <v>2533</v>
      </c>
      <c r="F5" s="3263"/>
      <c r="G5" s="3255" t="s">
        <v>2534</v>
      </c>
      <c r="H5" s="3256"/>
      <c r="I5" s="3255" t="s">
        <v>2535</v>
      </c>
      <c r="J5" s="3256"/>
      <c r="K5" s="610"/>
      <c r="L5" s="1129"/>
      <c r="M5" s="1130"/>
      <c r="N5" s="1130"/>
      <c r="O5" s="1130"/>
      <c r="P5" s="3242"/>
      <c r="Q5" s="3243"/>
      <c r="R5" s="3248"/>
      <c r="S5" s="3249"/>
      <c r="T5" s="3248"/>
      <c r="U5" s="3249"/>
      <c r="V5" s="3252"/>
      <c r="W5" s="3252"/>
      <c r="X5" s="1811"/>
      <c r="Y5" s="3248"/>
      <c r="Z5" s="3249"/>
      <c r="AA5" s="3234"/>
      <c r="AB5" s="3234"/>
      <c r="AC5" s="3234"/>
    </row>
    <row r="6" spans="1:29" ht="15.75" thickBot="1">
      <c r="A6" s="406"/>
      <c r="B6" s="407"/>
      <c r="C6" s="3287" t="s">
        <v>2787</v>
      </c>
      <c r="D6" s="3288"/>
      <c r="E6" s="3289" t="s">
        <v>2787</v>
      </c>
      <c r="F6" s="3290"/>
      <c r="G6" s="3287" t="s">
        <v>2787</v>
      </c>
      <c r="H6" s="3288"/>
      <c r="I6" s="3287" t="s">
        <v>2787</v>
      </c>
      <c r="J6" s="3288"/>
      <c r="K6" s="610" t="s">
        <v>2537</v>
      </c>
      <c r="L6" s="1129"/>
      <c r="M6" s="1130"/>
      <c r="N6" s="1130"/>
      <c r="O6" s="1130"/>
      <c r="P6" s="3244"/>
      <c r="Q6" s="3245"/>
      <c r="R6" s="3248"/>
      <c r="S6" s="3249"/>
      <c r="T6" s="3250"/>
      <c r="U6" s="3251"/>
      <c r="V6" s="3252"/>
      <c r="W6" s="3252"/>
      <c r="X6" s="1811"/>
      <c r="Y6" s="3250"/>
      <c r="Z6" s="3251"/>
      <c r="AA6" s="3235"/>
      <c r="AB6" s="3235"/>
      <c r="AC6" s="3235"/>
    </row>
    <row r="7" spans="1:29" s="117" customFormat="1" ht="15.75" thickBot="1">
      <c r="A7" s="408" t="s">
        <v>2538</v>
      </c>
      <c r="B7" s="409"/>
      <c r="C7" s="410">
        <f>'数据-取费表'!B2</f>
        <v>43718</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57" t="s">
        <v>2539</v>
      </c>
      <c r="Q7" s="3259"/>
      <c r="R7" s="769" t="s">
        <v>17</v>
      </c>
      <c r="S7" s="770">
        <f t="shared" ref="S7:S15" si="0">F7</f>
        <v>0</v>
      </c>
      <c r="T7" s="769" t="s">
        <v>17</v>
      </c>
      <c r="U7" s="770">
        <f t="shared" ref="U7:U15" si="1">H7</f>
        <v>0</v>
      </c>
      <c r="V7" s="769" t="s">
        <v>17</v>
      </c>
      <c r="W7" s="770">
        <f t="shared" ref="W7:W15" si="2">J7</f>
        <v>0</v>
      </c>
      <c r="X7" s="771"/>
      <c r="Y7" s="3257" t="s">
        <v>2539</v>
      </c>
      <c r="Z7" s="3258"/>
      <c r="AA7" s="772" t="e">
        <f>D7/F7</f>
        <v>#DIV/0!</v>
      </c>
      <c r="AB7" s="772" t="e">
        <f>D7/H7</f>
        <v>#DIV/0!</v>
      </c>
      <c r="AC7" s="772"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57" t="s">
        <v>2542</v>
      </c>
      <c r="Q8" s="3258"/>
      <c r="R8" s="769" t="s">
        <v>17</v>
      </c>
      <c r="S8" s="770">
        <f t="shared" si="0"/>
        <v>0</v>
      </c>
      <c r="T8" s="769" t="s">
        <v>17</v>
      </c>
      <c r="U8" s="770">
        <f t="shared" si="1"/>
        <v>0</v>
      </c>
      <c r="V8" s="769" t="s">
        <v>17</v>
      </c>
      <c r="W8" s="770">
        <f t="shared" si="2"/>
        <v>0</v>
      </c>
      <c r="X8" s="771"/>
      <c r="Y8" s="3257" t="s">
        <v>2542</v>
      </c>
      <c r="Z8" s="3258"/>
      <c r="AA8" s="772" t="e">
        <f t="shared" ref="AA8:AA40" si="3">D8/F8</f>
        <v>#DIV/0!</v>
      </c>
      <c r="AB8" s="772" t="e">
        <f t="shared" ref="AB8:AB40" si="4">D8/H8</f>
        <v>#DIV/0!</v>
      </c>
      <c r="AC8" s="772"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21" t="s">
        <v>2545</v>
      </c>
      <c r="Q9" s="1793" t="str">
        <f t="shared" ref="Q9:Q15" si="6">B9</f>
        <v>用途</v>
      </c>
      <c r="R9" s="769" t="s">
        <v>17</v>
      </c>
      <c r="S9" s="770">
        <f t="shared" si="0"/>
        <v>100</v>
      </c>
      <c r="T9" s="769" t="s">
        <v>17</v>
      </c>
      <c r="U9" s="770">
        <f t="shared" si="1"/>
        <v>100</v>
      </c>
      <c r="V9" s="769" t="s">
        <v>17</v>
      </c>
      <c r="W9" s="770">
        <f t="shared" si="2"/>
        <v>100</v>
      </c>
      <c r="X9" s="771"/>
      <c r="Y9" s="3046" t="s">
        <v>2546</v>
      </c>
      <c r="Z9" s="55" t="str">
        <f t="shared" ref="Z9:Z15" si="7">Q9</f>
        <v>用途</v>
      </c>
      <c r="AA9" s="772">
        <f t="shared" si="3"/>
        <v>1</v>
      </c>
      <c r="AB9" s="772">
        <f t="shared" si="4"/>
        <v>1</v>
      </c>
      <c r="AC9" s="772">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21"/>
      <c r="Q10" s="1793" t="str">
        <f t="shared" si="6"/>
        <v>土地使用年限（年）</v>
      </c>
      <c r="R10" s="769" t="s">
        <v>17</v>
      </c>
      <c r="S10" s="770">
        <f t="shared" si="0"/>
        <v>106</v>
      </c>
      <c r="T10" s="769" t="s">
        <v>17</v>
      </c>
      <c r="U10" s="770">
        <f t="shared" si="1"/>
        <v>106</v>
      </c>
      <c r="V10" s="769" t="s">
        <v>17</v>
      </c>
      <c r="W10" s="770">
        <f t="shared" si="2"/>
        <v>106</v>
      </c>
      <c r="X10" s="771"/>
      <c r="Y10" s="3046"/>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3" t="s">
        <v>2550</v>
      </c>
      <c r="Q15" s="1808" t="str">
        <f t="shared" si="6"/>
        <v>产业集聚程度</v>
      </c>
      <c r="R15" s="773" t="s">
        <v>17</v>
      </c>
      <c r="S15" s="774">
        <f t="shared" si="0"/>
        <v>100</v>
      </c>
      <c r="T15" s="773" t="s">
        <v>17</v>
      </c>
      <c r="U15" s="774">
        <f t="shared" si="1"/>
        <v>100</v>
      </c>
      <c r="V15" s="773" t="s">
        <v>17</v>
      </c>
      <c r="W15" s="774">
        <f t="shared" si="2"/>
        <v>100</v>
      </c>
      <c r="X15" s="1811"/>
      <c r="Y15" s="3223"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24"/>
      <c r="Q16" s="1808"/>
      <c r="R16" s="773"/>
      <c r="S16" s="774"/>
      <c r="T16" s="773"/>
      <c r="U16" s="774"/>
      <c r="V16" s="773"/>
      <c r="W16" s="774"/>
      <c r="X16" s="1811"/>
      <c r="Y16" s="3224"/>
      <c r="Z16" s="1812"/>
      <c r="AA16" s="1809">
        <v>1</v>
      </c>
      <c r="AB16" s="1809">
        <v>1</v>
      </c>
      <c r="AC16" s="1809">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4"/>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24"/>
      <c r="Q18" s="1808"/>
      <c r="R18" s="773"/>
      <c r="S18" s="774"/>
      <c r="T18" s="773"/>
      <c r="U18" s="774"/>
      <c r="V18" s="773"/>
      <c r="W18" s="774"/>
      <c r="X18" s="1811"/>
      <c r="Y18" s="3224"/>
      <c r="Z18" s="1812"/>
      <c r="AA18" s="1809">
        <v>1</v>
      </c>
      <c r="AB18" s="1809">
        <v>1</v>
      </c>
      <c r="AC18" s="1809">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4"/>
      <c r="Q19" s="1808" t="str">
        <f t="shared" ref="Q19:Q33" si="8">B19</f>
        <v>区域土地利用方向</v>
      </c>
      <c r="R19" s="773" t="s">
        <v>17</v>
      </c>
      <c r="S19" s="774">
        <f>F19</f>
        <v>100</v>
      </c>
      <c r="T19" s="773" t="s">
        <v>17</v>
      </c>
      <c r="U19" s="774">
        <f>H19</f>
        <v>100</v>
      </c>
      <c r="V19" s="773" t="s">
        <v>17</v>
      </c>
      <c r="W19" s="774">
        <f>J19</f>
        <v>100</v>
      </c>
      <c r="X19" s="1811"/>
      <c r="Y19" s="3224"/>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24"/>
      <c r="Q20" s="1808"/>
      <c r="R20" s="773"/>
      <c r="S20" s="774"/>
      <c r="T20" s="773"/>
      <c r="U20" s="774"/>
      <c r="V20" s="773"/>
      <c r="W20" s="774"/>
      <c r="X20" s="1811"/>
      <c r="Y20" s="3224"/>
      <c r="Z20" s="1812"/>
      <c r="AA20" s="1809"/>
      <c r="AB20" s="1809"/>
      <c r="AC20" s="1809"/>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4"/>
      <c r="Q21" s="1808" t="str">
        <f t="shared" si="8"/>
        <v>环境状况</v>
      </c>
      <c r="R21" s="773" t="s">
        <v>17</v>
      </c>
      <c r="S21" s="774">
        <f>F21</f>
        <v>100</v>
      </c>
      <c r="T21" s="773" t="s">
        <v>17</v>
      </c>
      <c r="U21" s="774">
        <f>H21</f>
        <v>100</v>
      </c>
      <c r="V21" s="773" t="s">
        <v>17</v>
      </c>
      <c r="W21" s="774">
        <f>J21</f>
        <v>100</v>
      </c>
      <c r="X21" s="1811"/>
      <c r="Y21" s="3224"/>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24"/>
      <c r="Q22" s="1808"/>
      <c r="R22" s="773"/>
      <c r="S22" s="774"/>
      <c r="T22" s="773"/>
      <c r="U22" s="774"/>
      <c r="V22" s="773"/>
      <c r="W22" s="774"/>
      <c r="X22" s="1811"/>
      <c r="Y22" s="3224"/>
      <c r="Z22" s="1812"/>
      <c r="AA22" s="1809">
        <v>1</v>
      </c>
      <c r="AB22" s="1809">
        <v>1</v>
      </c>
      <c r="AC22" s="1809">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4"/>
      <c r="Q23" s="1793" t="str">
        <f t="shared" si="8"/>
        <v>公共配套设施</v>
      </c>
      <c r="R23" s="769" t="s">
        <v>17</v>
      </c>
      <c r="S23" s="770">
        <f>F23</f>
        <v>100</v>
      </c>
      <c r="T23" s="769" t="s">
        <v>17</v>
      </c>
      <c r="U23" s="770">
        <f>H23</f>
        <v>100</v>
      </c>
      <c r="V23" s="769" t="s">
        <v>17</v>
      </c>
      <c r="W23" s="770">
        <f>J23</f>
        <v>100</v>
      </c>
      <c r="X23" s="771"/>
      <c r="Y23" s="3224"/>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24"/>
      <c r="Q24" s="1793"/>
      <c r="R24" s="769"/>
      <c r="S24" s="770"/>
      <c r="T24" s="769"/>
      <c r="U24" s="770"/>
      <c r="V24" s="769"/>
      <c r="W24" s="770"/>
      <c r="X24" s="771"/>
      <c r="Y24" s="3224"/>
      <c r="Z24" s="55"/>
      <c r="AA24" s="772">
        <v>1</v>
      </c>
      <c r="AB24" s="772">
        <v>1</v>
      </c>
      <c r="AC24" s="772">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4"/>
      <c r="Q25" s="1793" t="str">
        <f t="shared" ref="Q25" si="9">B25</f>
        <v>基础设施水平</v>
      </c>
      <c r="R25" s="769" t="s">
        <v>17</v>
      </c>
      <c r="S25" s="770">
        <f>F25</f>
        <v>100</v>
      </c>
      <c r="T25" s="769" t="s">
        <v>17</v>
      </c>
      <c r="U25" s="770">
        <f>H25</f>
        <v>100</v>
      </c>
      <c r="V25" s="769" t="s">
        <v>17</v>
      </c>
      <c r="W25" s="770">
        <f>J25</f>
        <v>100</v>
      </c>
      <c r="X25" s="771"/>
      <c r="Y25" s="3224"/>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24"/>
      <c r="Q26" s="1793"/>
      <c r="R26" s="769"/>
      <c r="S26" s="770"/>
      <c r="T26" s="769"/>
      <c r="U26" s="770"/>
      <c r="V26" s="769"/>
      <c r="W26" s="770"/>
      <c r="X26" s="771"/>
      <c r="Y26" s="3224"/>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4"/>
      <c r="Z27" s="1812" t="str">
        <f t="shared" ref="Z27:Z40" si="13">Q27</f>
        <v>临街状况</v>
      </c>
      <c r="AA27" s="1809">
        <f t="shared" si="3"/>
        <v>1</v>
      </c>
      <c r="AB27" s="1809">
        <f t="shared" si="4"/>
        <v>1</v>
      </c>
      <c r="AC27" s="1809">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4"/>
      <c r="Q28" s="1808" t="str">
        <f t="shared" si="8"/>
        <v>毗邻道路的类型与等级</v>
      </c>
      <c r="R28" s="773" t="s">
        <v>17</v>
      </c>
      <c r="S28" s="774">
        <f t="shared" si="10"/>
        <v>100</v>
      </c>
      <c r="T28" s="773" t="s">
        <v>17</v>
      </c>
      <c r="U28" s="774">
        <f t="shared" si="11"/>
        <v>100</v>
      </c>
      <c r="V28" s="773" t="s">
        <v>17</v>
      </c>
      <c r="W28" s="774">
        <f t="shared" si="12"/>
        <v>100</v>
      </c>
      <c r="X28" s="1811"/>
      <c r="Y28" s="3224"/>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24"/>
      <c r="Q29" s="1808"/>
      <c r="R29" s="773"/>
      <c r="S29" s="774"/>
      <c r="T29" s="773"/>
      <c r="U29" s="774"/>
      <c r="V29" s="773"/>
      <c r="W29" s="774"/>
      <c r="X29" s="1811"/>
      <c r="Y29" s="3224"/>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4"/>
      <c r="Q30" s="1808" t="str">
        <f t="shared" si="8"/>
        <v>土地级别</v>
      </c>
      <c r="R30" s="773" t="s">
        <v>17</v>
      </c>
      <c r="S30" s="774">
        <f t="shared" si="10"/>
        <v>100</v>
      </c>
      <c r="T30" s="773" t="s">
        <v>17</v>
      </c>
      <c r="U30" s="774">
        <f t="shared" si="11"/>
        <v>100</v>
      </c>
      <c r="V30" s="773" t="s">
        <v>17</v>
      </c>
      <c r="W30" s="774">
        <f t="shared" si="12"/>
        <v>100</v>
      </c>
      <c r="X30" s="1811"/>
      <c r="Y30" s="3224"/>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4"/>
      <c r="Q31" s="1808">
        <f t="shared" si="8"/>
        <v>111</v>
      </c>
      <c r="R31" s="773" t="s">
        <v>17</v>
      </c>
      <c r="S31" s="774">
        <f t="shared" si="10"/>
        <v>100</v>
      </c>
      <c r="T31" s="773" t="s">
        <v>17</v>
      </c>
      <c r="U31" s="774">
        <f t="shared" si="11"/>
        <v>100</v>
      </c>
      <c r="V31" s="773" t="s">
        <v>17</v>
      </c>
      <c r="W31" s="774">
        <f t="shared" si="12"/>
        <v>100</v>
      </c>
      <c r="X31" s="1811"/>
      <c r="Y31" s="3224"/>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2" t="s">
        <v>2555</v>
      </c>
      <c r="Q32" s="1808">
        <f t="shared" si="8"/>
        <v>111</v>
      </c>
      <c r="R32" s="773" t="s">
        <v>17</v>
      </c>
      <c r="S32" s="774">
        <f t="shared" si="10"/>
        <v>100</v>
      </c>
      <c r="T32" s="773" t="s">
        <v>17</v>
      </c>
      <c r="U32" s="774">
        <f t="shared" si="11"/>
        <v>100</v>
      </c>
      <c r="V32" s="773" t="s">
        <v>17</v>
      </c>
      <c r="W32" s="774">
        <f t="shared" si="12"/>
        <v>100</v>
      </c>
      <c r="X32" s="1811"/>
      <c r="Y32" s="3228" t="s">
        <v>2555</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8"/>
      <c r="Q33" s="1808">
        <f t="shared" si="8"/>
        <v>111</v>
      </c>
      <c r="R33" s="776" t="s">
        <v>17</v>
      </c>
      <c r="S33" s="777">
        <f t="shared" si="10"/>
        <v>100</v>
      </c>
      <c r="T33" s="776" t="s">
        <v>17</v>
      </c>
      <c r="U33" s="777">
        <f t="shared" si="11"/>
        <v>100</v>
      </c>
      <c r="V33" s="776" t="s">
        <v>17</v>
      </c>
      <c r="W33" s="777">
        <f t="shared" si="12"/>
        <v>100</v>
      </c>
      <c r="X33" s="778"/>
      <c r="Y33" s="3228"/>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8"/>
      <c r="Q34" s="1808" t="str">
        <f>B34</f>
        <v>宗地面积</v>
      </c>
      <c r="R34" s="773" t="s">
        <v>17</v>
      </c>
      <c r="S34" s="774" t="e">
        <f t="shared" si="10"/>
        <v>#N/A</v>
      </c>
      <c r="T34" s="773" t="s">
        <v>17</v>
      </c>
      <c r="U34" s="774" t="e">
        <f t="shared" si="11"/>
        <v>#N/A</v>
      </c>
      <c r="V34" s="773" t="s">
        <v>17</v>
      </c>
      <c r="W34" s="774" t="e">
        <f t="shared" si="12"/>
        <v>#N/A</v>
      </c>
      <c r="X34" s="1811"/>
      <c r="Y34" s="3228"/>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28"/>
      <c r="Q35" s="1808" t="str">
        <f t="shared" ref="Q35:Q40" si="14">B35</f>
        <v>宗地形状</v>
      </c>
      <c r="R35" s="773" t="s">
        <v>17</v>
      </c>
      <c r="S35" s="774">
        <f t="shared" si="10"/>
        <v>100</v>
      </c>
      <c r="T35" s="773" t="s">
        <v>17</v>
      </c>
      <c r="U35" s="774">
        <f t="shared" si="11"/>
        <v>100</v>
      </c>
      <c r="V35" s="773" t="s">
        <v>17</v>
      </c>
      <c r="W35" s="774">
        <f t="shared" si="12"/>
        <v>100</v>
      </c>
      <c r="X35" s="1811"/>
      <c r="Y35" s="3228"/>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28"/>
      <c r="Q36" s="1808" t="str">
        <f t="shared" si="14"/>
        <v>宗地开发程度</v>
      </c>
      <c r="R36" s="769" t="s">
        <v>17</v>
      </c>
      <c r="S36" s="770">
        <f t="shared" si="10"/>
        <v>100</v>
      </c>
      <c r="T36" s="769" t="s">
        <v>17</v>
      </c>
      <c r="U36" s="770">
        <f t="shared" si="11"/>
        <v>100</v>
      </c>
      <c r="V36" s="769" t="s">
        <v>17</v>
      </c>
      <c r="W36" s="770">
        <f t="shared" si="12"/>
        <v>100</v>
      </c>
      <c r="X36" s="771"/>
      <c r="Y36" s="3228"/>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28" t="s">
        <v>2555</v>
      </c>
      <c r="Q37" s="1808" t="str">
        <f t="shared" si="14"/>
        <v>工程地质条件</v>
      </c>
      <c r="R37" s="773" t="s">
        <v>17</v>
      </c>
      <c r="S37" s="774">
        <f t="shared" si="10"/>
        <v>100</v>
      </c>
      <c r="T37" s="773" t="s">
        <v>17</v>
      </c>
      <c r="U37" s="774">
        <f t="shared" si="11"/>
        <v>100</v>
      </c>
      <c r="V37" s="773" t="s">
        <v>17</v>
      </c>
      <c r="W37" s="774">
        <f t="shared" si="12"/>
        <v>100</v>
      </c>
      <c r="X37" s="1811"/>
      <c r="Y37" s="3228"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8"/>
      <c r="Q38" s="1808">
        <f t="shared" si="14"/>
        <v>111</v>
      </c>
      <c r="R38" s="773" t="s">
        <v>17</v>
      </c>
      <c r="S38" s="774">
        <f t="shared" si="10"/>
        <v>100</v>
      </c>
      <c r="T38" s="773" t="s">
        <v>17</v>
      </c>
      <c r="U38" s="774">
        <f t="shared" si="11"/>
        <v>100</v>
      </c>
      <c r="V38" s="773" t="s">
        <v>17</v>
      </c>
      <c r="W38" s="774">
        <f t="shared" si="12"/>
        <v>100</v>
      </c>
      <c r="X38" s="1811"/>
      <c r="Y38" s="3228"/>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8"/>
      <c r="Q39" s="1808">
        <f t="shared" si="14"/>
        <v>111</v>
      </c>
      <c r="R39" s="773" t="s">
        <v>17</v>
      </c>
      <c r="S39" s="774">
        <f t="shared" si="10"/>
        <v>100</v>
      </c>
      <c r="T39" s="773" t="s">
        <v>17</v>
      </c>
      <c r="U39" s="774">
        <f t="shared" si="11"/>
        <v>100</v>
      </c>
      <c r="V39" s="773" t="s">
        <v>17</v>
      </c>
      <c r="W39" s="774">
        <f t="shared" si="12"/>
        <v>100</v>
      </c>
      <c r="X39" s="1811"/>
      <c r="Y39" s="3228"/>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8"/>
      <c r="Q40" s="1808">
        <f t="shared" si="14"/>
        <v>111</v>
      </c>
      <c r="R40" s="776" t="s">
        <v>17</v>
      </c>
      <c r="S40" s="777">
        <f t="shared" si="10"/>
        <v>100</v>
      </c>
      <c r="T40" s="776" t="s">
        <v>17</v>
      </c>
      <c r="U40" s="777">
        <f t="shared" si="11"/>
        <v>100</v>
      </c>
      <c r="V40" s="776" t="s">
        <v>17</v>
      </c>
      <c r="W40" s="777">
        <f t="shared" si="12"/>
        <v>100</v>
      </c>
      <c r="X40" s="778"/>
      <c r="Y40" s="3228"/>
      <c r="Z40" s="779">
        <f t="shared" si="13"/>
        <v>111</v>
      </c>
      <c r="AA40" s="1809">
        <f t="shared" si="3"/>
        <v>1</v>
      </c>
      <c r="AB40" s="1809">
        <f t="shared" si="4"/>
        <v>1</v>
      </c>
      <c r="AC40" s="1809">
        <f t="shared" si="5"/>
        <v>1</v>
      </c>
    </row>
    <row r="41" spans="1:29" ht="15">
      <c r="A41" s="479" t="s">
        <v>2710</v>
      </c>
      <c r="B41" s="2700" t="s">
        <v>2790</v>
      </c>
      <c r="C41" s="682" t="s">
        <v>1</v>
      </c>
      <c r="D41" s="481"/>
      <c r="E41" s="482"/>
      <c r="F41" s="483"/>
      <c r="G41" s="484"/>
      <c r="H41" s="485"/>
      <c r="I41" s="482"/>
      <c r="J41" s="485"/>
      <c r="K41" s="782"/>
      <c r="L41" s="1142"/>
      <c r="M41" s="1130"/>
      <c r="N41" s="1130"/>
      <c r="O41" s="1143"/>
      <c r="P41" s="3221" t="str">
        <f>A41</f>
        <v>成交单价</v>
      </c>
      <c r="Q41" s="3221"/>
      <c r="R41" s="3252">
        <f>E41</f>
        <v>0</v>
      </c>
      <c r="S41" s="3252"/>
      <c r="T41" s="3252">
        <f>G41</f>
        <v>0</v>
      </c>
      <c r="U41" s="3252"/>
      <c r="V41" s="3252">
        <f>I41</f>
        <v>0</v>
      </c>
      <c r="W41" s="3252"/>
      <c r="X41" s="758"/>
      <c r="Y41" s="780"/>
      <c r="Z41" s="758"/>
      <c r="AA41" s="758"/>
      <c r="AB41" s="758"/>
      <c r="AC41" s="758"/>
    </row>
    <row r="42" spans="1:29" ht="15.7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21" t="str">
        <f>A42</f>
        <v>比较价值（元/平方米）</v>
      </c>
      <c r="Q42" s="3221"/>
      <c r="R42" s="3283" t="e">
        <f>ROUND(PRODUCT(R41,AA7:AA40),0)</f>
        <v>#DIV/0!</v>
      </c>
      <c r="S42" s="3283"/>
      <c r="T42" s="3283" t="e">
        <f>ROUND(PRODUCT(T41,AB7:AB40),0)</f>
        <v>#DIV/0!</v>
      </c>
      <c r="U42" s="3283"/>
      <c r="V42" s="3283" t="e">
        <f>ROUND(PRODUCT(V41,AC7:AC40),0)</f>
        <v>#DIV/0!</v>
      </c>
      <c r="W42" s="3283"/>
      <c r="X42" s="758"/>
      <c r="Y42" s="758"/>
      <c r="Z42" s="758"/>
      <c r="AA42" s="758"/>
      <c r="AB42" s="758"/>
      <c r="AC42" s="758"/>
    </row>
    <row r="43" spans="1:29" ht="15.75" thickBot="1">
      <c r="A43" s="492" t="s">
        <v>2660</v>
      </c>
      <c r="B43" s="493"/>
      <c r="C43" s="494" t="e">
        <f>R43</f>
        <v>#DIV/0!</v>
      </c>
      <c r="D43" s="494"/>
      <c r="E43" s="494"/>
      <c r="F43" s="494"/>
      <c r="G43" s="494"/>
      <c r="H43" s="494"/>
      <c r="I43" s="494"/>
      <c r="J43" s="494"/>
      <c r="K43" s="784"/>
      <c r="L43" s="1142"/>
      <c r="M43" s="1130"/>
      <c r="N43" s="1130"/>
      <c r="O43" s="1143"/>
      <c r="P43" s="3218" t="str">
        <f>A43</f>
        <v>估价对象XX用房的比较价值（楼面单价，元/平方米）</v>
      </c>
      <c r="Q43" s="3219"/>
      <c r="R43" s="3284" t="e">
        <f>ROUND(AVERAGE(R42:V42),0)</f>
        <v>#DIV/0!</v>
      </c>
      <c r="S43" s="3284"/>
      <c r="T43" s="3284"/>
      <c r="U43" s="3284"/>
      <c r="V43" s="3284"/>
      <c r="W43" s="328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2748</v>
      </c>
      <c r="B50" s="685" t="s">
        <v>2749</v>
      </c>
      <c r="C50" s="2701" t="s">
        <v>2750</v>
      </c>
      <c r="D50" s="2702" t="s">
        <v>2751</v>
      </c>
      <c r="E50" s="686" t="s">
        <v>2752</v>
      </c>
      <c r="F50" s="687" t="s">
        <v>2753</v>
      </c>
      <c r="G50" s="3236" t="s">
        <v>2754</v>
      </c>
      <c r="H50" s="3285"/>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435.22</v>
      </c>
      <c r="F51" s="691" t="e">
        <f t="shared" ref="F51:F60" si="15">ROUND(B51*E51/10000,0)</f>
        <v>#DIV/0!</v>
      </c>
      <c r="G51" s="3232"/>
      <c r="H51" s="3221"/>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86"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86"/>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86"/>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86"/>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2664</v>
      </c>
      <c r="B64" s="758"/>
      <c r="C64" s="763"/>
      <c r="D64" s="763"/>
      <c r="E64" s="763"/>
      <c r="F64" s="764"/>
      <c r="G64" s="764"/>
      <c r="H64" s="763"/>
      <c r="I64" s="763"/>
      <c r="J64" s="763"/>
      <c r="K64" s="765"/>
      <c r="L64" s="766"/>
      <c r="M64" s="763"/>
      <c r="N64" s="763"/>
      <c r="O64" s="1158"/>
      <c r="P64" s="503"/>
      <c r="Q64" s="504"/>
    </row>
    <row r="65" spans="1:17" s="508" customFormat="1" ht="15">
      <c r="A65" s="2707" t="s">
        <v>2772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2" t="s">
        <v>2792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2794</v>
      </c>
      <c r="B1" s="241"/>
      <c r="C1" s="245" t="s">
        <v>2795</v>
      </c>
      <c r="D1" s="388">
        <f>SUM(D29:D30,D33:D39)</f>
        <v>78.53</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97</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28613</v>
      </c>
      <c r="U2" s="1601"/>
      <c r="V2" s="1600">
        <f ca="1">ROUND(T2*U2/10000,0)</f>
        <v>0</v>
      </c>
      <c r="W2" s="1604"/>
      <c r="X2" s="1604"/>
      <c r="Y2" s="1604"/>
      <c r="Z2" s="1604"/>
      <c r="AA2" s="1604"/>
      <c r="AB2" s="1604"/>
      <c r="AC2" s="1605"/>
      <c r="AD2" s="1606"/>
      <c r="AE2" s="1606"/>
      <c r="AF2" s="1606"/>
      <c r="AG2" s="1606"/>
      <c r="AH2" s="1606"/>
      <c r="AI2" s="1606"/>
      <c r="AJ2" s="1607"/>
    </row>
    <row r="3" spans="1:36" ht="25.5">
      <c r="A3" s="247" t="s">
        <v>2808</v>
      </c>
      <c r="B3" s="248">
        <f ca="1">ROUND(B2*10000/D1,0)</f>
        <v>12352</v>
      </c>
      <c r="C3" s="2717" t="s">
        <v>2809</v>
      </c>
      <c r="D3" s="2718" t="s">
        <v>2810</v>
      </c>
      <c r="E3" s="2723" t="s">
        <v>3094</v>
      </c>
      <c r="F3" s="2724" t="s">
        <v>3095</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20539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94"/>
      <c r="B4" s="3295"/>
      <c r="C4" s="3295"/>
      <c r="D4" s="3296"/>
      <c r="E4" s="3296"/>
      <c r="F4" s="3296"/>
      <c r="G4" s="3296"/>
      <c r="H4" s="3296"/>
      <c r="I4" s="3296"/>
      <c r="J4" s="3297"/>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16570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13295</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11322</v>
      </c>
      <c r="U6" s="1601"/>
      <c r="V6" s="1600">
        <f t="shared" ca="1" si="1"/>
        <v>0</v>
      </c>
      <c r="W6" s="1604"/>
      <c r="X6" s="1604"/>
      <c r="Y6" s="1604"/>
      <c r="Z6" s="1604"/>
      <c r="AA6" s="1604"/>
      <c r="AB6" s="1604"/>
      <c r="AC6" s="2731"/>
      <c r="AD6" s="2732"/>
      <c r="AE6" s="2732"/>
      <c r="AF6" s="2732"/>
      <c r="AG6" s="2732"/>
      <c r="AH6" s="2732"/>
      <c r="AI6" s="2732"/>
      <c r="AJ6" s="2733"/>
    </row>
    <row r="7" spans="1:36" ht="24">
      <c r="A7" s="3298"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9956</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5.5">
      <c r="A8" s="3299"/>
      <c r="B8" s="198" t="s">
        <v>2826</v>
      </c>
      <c r="C8" s="2746" t="s">
        <v>3096</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91" t="s">
        <v>2829</v>
      </c>
      <c r="X8" s="3292"/>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299"/>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293"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9"/>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9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9"/>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93"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8"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93"/>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0"/>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293"/>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00"/>
      <c r="B14" s="2764"/>
      <c r="C14" s="2765" t="s">
        <v>3059</v>
      </c>
      <c r="D14" s="2766" t="s">
        <v>3059</v>
      </c>
      <c r="E14" s="2766" t="s">
        <v>3059</v>
      </c>
      <c r="F14" s="2767" t="s">
        <v>3097</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01"/>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8" t="s">
        <v>2872</v>
      </c>
      <c r="B16" s="2741" t="s">
        <v>2873</v>
      </c>
      <c r="C16" s="2928">
        <f>ROUND(IF(F17="与级别开发程度一致",0,(G17-E17)/C17),0)</f>
        <v>0</v>
      </c>
      <c r="D16" s="3312" t="s">
        <v>2877</v>
      </c>
      <c r="E16" s="3313"/>
      <c r="F16" s="3312" t="s">
        <v>2874</v>
      </c>
      <c r="G16" s="3313"/>
      <c r="H16" s="2775" t="s">
        <v>3061</v>
      </c>
      <c r="I16" s="2775" t="s">
        <v>3062</v>
      </c>
      <c r="J16" s="2932" t="s">
        <v>3066</v>
      </c>
      <c r="K16" s="2775" t="s">
        <v>3063</v>
      </c>
      <c r="L16" s="2775" t="s">
        <v>3064</v>
      </c>
      <c r="M16" s="2775" t="s">
        <v>3065</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02"/>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3098</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3">
        <f>ROUND(IF(H19="按公示增长率计算",SUMPRODUCT((地价!A3:A27=YEAR(G19)&amp;"-"&amp;ROUNDUP(MONTH(G19)/3,0))*(地价!X2:AB2=E2)*(地价!X3:AB27)),IF(H19="地价指数",M20/M19,(1+I19)^O19)),4)</f>
        <v>1.3566</v>
      </c>
      <c r="D19" s="2785" t="s">
        <v>2881</v>
      </c>
      <c r="E19" s="924">
        <v>41640</v>
      </c>
      <c r="F19" s="2785" t="s">
        <v>2882</v>
      </c>
      <c r="G19" s="925">
        <f>'数据-取费表'!B2</f>
        <v>43718</v>
      </c>
      <c r="H19" s="2786" t="s">
        <v>3099</v>
      </c>
      <c r="I19" s="926" t="str">
        <f>IF(H19="季度增幅（自定义）",SUMIF(N21:N24,E2,O21:O24),"")</f>
        <v/>
      </c>
      <c r="J19" s="2783"/>
      <c r="K19" s="1375"/>
      <c r="L19" s="2787" t="s">
        <v>2883</v>
      </c>
      <c r="M19" s="1732">
        <f>ROUND(SUMIF(地价!B2:F2,E2,地价!B27:F27),0)</f>
        <v>258</v>
      </c>
      <c r="N19" s="2788" t="s">
        <v>2884</v>
      </c>
      <c r="O19" s="927">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8">
        <f ca="1">ROUND(POWER(1+G20,J20-I20)*(POWER(1+G20,I20)-1)/(POWER(1+G20,J20)-1),4)</f>
        <v>0.95020000000000004</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v>
      </c>
      <c r="J20" s="935">
        <f>IF(E2="住宅",70,IF(E2="商业",40,50))</f>
        <v>50</v>
      </c>
      <c r="K20" s="1375"/>
      <c r="L20" s="2795" t="s">
        <v>2888</v>
      </c>
      <c r="M20" s="1733">
        <f>ROUND(SUMPRODUCT((地价!A4:A27=YEAR(G19)&amp;"-"&amp;ROUNDUP(MONTH(G19)/3,0))*(地价!B2:F2=E2)*(地价!B4:F27)),0)</f>
        <v>350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3100</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2904</v>
      </c>
      <c r="C26" s="206">
        <f ca="1">E29+SUM(E33:E39)</f>
        <v>97</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12403</v>
      </c>
      <c r="D29" s="2833">
        <f>'数据-汇总表'!F19</f>
        <v>78.53</v>
      </c>
      <c r="E29" s="941">
        <f ca="1">ROUND(C29*D29/10000,0)</f>
        <v>97</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9">
        <f ca="1">ROUND(IF(E2="工业",C29*M39,C29*M38),0)</f>
        <v>3101</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9" t="s">
        <v>2918</v>
      </c>
      <c r="B33" s="2849" t="s">
        <v>2919</v>
      </c>
      <c r="C33" s="206">
        <f ca="1">ROUND(D5*C19*C20*C24*F33,0)</f>
        <v>10752</v>
      </c>
      <c r="D33" s="2833"/>
      <c r="E33" s="200">
        <f ca="1">ROUND(C33*D33/10000,0)</f>
        <v>0</v>
      </c>
      <c r="F33" s="200">
        <f>SUMIF(修正!A45:A56,G2,修正!B45:B56)</f>
        <v>0.7</v>
      </c>
      <c r="G33" s="200">
        <f t="shared" ref="G33" ca="1" si="6">ROUND(IF(E2="工业",C33*$M$39,C33*$M$38),0)</f>
        <v>2688</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0"/>
      <c r="B34" s="2761" t="s">
        <v>2920</v>
      </c>
      <c r="C34" s="206">
        <f ca="1">ROUND(D5*C19*C20*C24*F34,0)</f>
        <v>6144</v>
      </c>
      <c r="D34" s="2833"/>
      <c r="E34" s="200">
        <f t="shared" ref="E34:E39" ca="1" si="7">ROUND(C34*D34/10000,0)</f>
        <v>0</v>
      </c>
      <c r="F34" s="200">
        <f>SUMIF(修正!A45:A56,G2,修正!C45:C56)</f>
        <v>0.4</v>
      </c>
      <c r="G34" s="200">
        <f ca="1">ROUND(IF(E2="工业",C34*$M$39,C34*$M$38),0)</f>
        <v>1536</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0"/>
      <c r="B35" s="2761" t="s">
        <v>2921</v>
      </c>
      <c r="C35" s="206">
        <f ca="1">ROUND(D5*C19*C20*C24*F35,0)</f>
        <v>4301</v>
      </c>
      <c r="D35" s="2833"/>
      <c r="E35" s="200">
        <f t="shared" ca="1" si="7"/>
        <v>0</v>
      </c>
      <c r="F35" s="200">
        <f>SUMIF(修正!A45:A56,G2,修正!D45:D56)</f>
        <v>0.28000000000000003</v>
      </c>
      <c r="G35" s="200">
        <f ca="1">ROUND(IF(E2="工业",C35*$M$39,C35*$M$38),0)</f>
        <v>1075</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11"/>
      <c r="B36" s="2761" t="s">
        <v>2922</v>
      </c>
      <c r="C36" s="206">
        <f ca="1">ROUND(D5*C19*C20*C24*F36,0)</f>
        <v>3840</v>
      </c>
      <c r="D36" s="2833"/>
      <c r="E36" s="200">
        <f t="shared" ca="1" si="7"/>
        <v>0</v>
      </c>
      <c r="F36" s="200">
        <f>SUMIF(修正!A45:A56,G2,修正!E45:E56)</f>
        <v>0.25</v>
      </c>
      <c r="G36" s="200">
        <f ca="1">ROUND(IF(E2="工业",C36*$M$39,C36*$M$38),0)</f>
        <v>960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3840</v>
      </c>
      <c r="D37" s="2833"/>
      <c r="E37" s="200">
        <f t="shared" ca="1" si="7"/>
        <v>0</v>
      </c>
      <c r="F37" s="206">
        <f>SUMIF(修正!A45:A56,G2,修正!F45:F56)</f>
        <v>0.25</v>
      </c>
      <c r="G37" s="200">
        <f ca="1">ROUND(IF(E2="工业",C37*$M$39,C37*$M$38),0)</f>
        <v>960</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4.75">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76.5">
      <c r="A59" s="2866" t="s">
        <v>2951</v>
      </c>
      <c r="B59" s="2869" t="str">
        <f>估价对象房地状况!C17</f>
        <v>估价对象位于中关村软件园丰台科技园区，周边办公楼项目较多，如：诺德中心二期、三期、华夏幸福中心等，入驻率高，办公集聚程度较好</v>
      </c>
      <c r="C59" s="2766" t="s">
        <v>3101</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3101</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3101</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6" t="s">
        <v>2941</v>
      </c>
      <c r="B62" s="2871" t="s">
        <v>2942</v>
      </c>
      <c r="C62" s="2766" t="s">
        <v>3101</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3101</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6" t="s">
        <v>2944</v>
      </c>
      <c r="B64" s="2872" t="s">
        <v>2945</v>
      </c>
      <c r="C64" s="2766" t="s">
        <v>3101</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3101</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6" t="s">
        <v>2947</v>
      </c>
      <c r="B66" s="1723" t="str">
        <f>估价对象房地状况!C22</f>
        <v>区域基础设施水平为七通</v>
      </c>
      <c r="C66" s="2766" t="s">
        <v>3101</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3101</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24">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14.75">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24.75"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5">
      <c r="A79" s="2862" t="s">
        <v>2956</v>
      </c>
      <c r="B79" s="2863">
        <f>1+E81</f>
        <v>1</v>
      </c>
      <c r="C79" s="813"/>
      <c r="D79" s="813"/>
      <c r="E79" s="814"/>
      <c r="F79" s="2865"/>
      <c r="G79" s="6"/>
      <c r="H79" s="6"/>
      <c r="I79" s="6"/>
      <c r="J79" s="7"/>
      <c r="K79" s="7"/>
      <c r="L79" s="7"/>
      <c r="M79" s="7"/>
      <c r="N79" s="7"/>
      <c r="Z79" s="2716"/>
      <c r="AA79" s="2784"/>
      <c r="AG79" s="1370"/>
      <c r="AK79" s="2784"/>
    </row>
    <row r="80" spans="1:37" ht="24.75">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8.25">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4.25">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5.5">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5.5">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24">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39"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303" t="s">
        <v>2960</v>
      </c>
      <c r="B90" s="3303"/>
      <c r="C90" s="3303"/>
      <c r="D90" s="3303"/>
      <c r="E90" s="3303"/>
      <c r="F90" s="3303"/>
      <c r="G90" s="3303"/>
      <c r="H90" s="3303"/>
      <c r="I90" s="3303"/>
      <c r="J90" s="3303"/>
      <c r="K90" s="2880"/>
      <c r="L90" s="2880"/>
      <c r="M90" s="2880"/>
      <c r="N90" s="2880"/>
    </row>
    <row r="91" spans="1:37">
      <c r="A91" s="3305" t="s">
        <v>2961</v>
      </c>
      <c r="B91" s="3305" t="s">
        <v>2962</v>
      </c>
      <c r="C91" s="2834" t="s">
        <v>2963</v>
      </c>
      <c r="D91" s="2835"/>
      <c r="E91" s="2835"/>
      <c r="F91" s="2835"/>
      <c r="G91" s="2835"/>
      <c r="H91" s="2835"/>
      <c r="I91" s="2835"/>
      <c r="J91" s="2881"/>
      <c r="K91" s="2882"/>
      <c r="L91" s="2882"/>
      <c r="M91" s="2882"/>
      <c r="N91" s="2882"/>
    </row>
    <row r="92" spans="1:37">
      <c r="A92" s="3305"/>
      <c r="B92" s="3305"/>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06"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7"/>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0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6"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07"/>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07"/>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07"/>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07"/>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07"/>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07"/>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07"/>
      <c r="B108" s="3161"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08"/>
      <c r="B109" s="3162"/>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304" t="s">
        <v>2968</v>
      </c>
      <c r="B110" s="3304"/>
      <c r="C110" s="3304"/>
      <c r="D110" s="3304"/>
      <c r="E110" s="3304"/>
      <c r="F110" s="3304"/>
      <c r="G110" s="3304"/>
      <c r="H110" s="3304"/>
      <c r="I110" s="3304"/>
      <c r="J110" s="3304"/>
      <c r="K110" s="2889"/>
      <c r="L110" s="2889"/>
      <c r="M110" s="2889"/>
      <c r="N110" s="2889"/>
    </row>
    <row r="112" spans="1:14" ht="13.5" thickBot="1"/>
    <row r="113" spans="1:13" ht="25.5"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2991</v>
      </c>
    </row>
    <row r="2" spans="1:5" ht="15.75">
      <c r="A2" s="2898" t="s">
        <v>2983</v>
      </c>
      <c r="B2" s="2899">
        <f ca="1">SUMIF(B6:B13,"&lt;&gt;#ref!",B6:B13)</f>
        <v>97</v>
      </c>
      <c r="C2" s="2898" t="s">
        <v>2984</v>
      </c>
      <c r="D2" s="2898" t="s">
        <v>2985</v>
      </c>
      <c r="E2" s="2899">
        <f ca="1">SUMIF(E6:E13,"&lt;&gt;#ref!",E6:E13)</f>
        <v>78.53</v>
      </c>
    </row>
    <row r="3" spans="1:5" ht="15.75">
      <c r="A3" s="2898" t="s">
        <v>2986</v>
      </c>
      <c r="B3" s="2899">
        <f ca="1">ROUND(B2*10000/E2,0)</f>
        <v>12352</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97</v>
      </c>
      <c r="C6" s="2898" t="s">
        <v>2984</v>
      </c>
      <c r="D6" s="2900"/>
      <c r="E6" s="2571">
        <f ca="1">SUMIF(INDIRECT("'"&amp;A6&amp;"'"&amp;"!C:C"),"建筑面积",INDIRECT("'"&amp;A6&amp;"'"&amp;"!D:D"))</f>
        <v>78.53</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0" t="s">
        <v>1146</v>
      </c>
      <c r="C1" s="3320"/>
      <c r="D1" s="3320"/>
      <c r="E1" s="3320"/>
      <c r="F1" s="3320"/>
      <c r="G1" s="3319" t="s">
        <v>1147</v>
      </c>
      <c r="H1" s="3319"/>
      <c r="I1" s="3319"/>
      <c r="J1" s="3319"/>
      <c r="K1" s="3319"/>
      <c r="L1" s="3319"/>
      <c r="N1" s="3319" t="s">
        <v>1148</v>
      </c>
      <c r="O1" s="3319"/>
      <c r="P1" s="3319"/>
      <c r="Q1" s="3319"/>
      <c r="R1" s="1444"/>
      <c r="S1" s="3319" t="s">
        <v>1149</v>
      </c>
      <c r="T1" s="3319"/>
      <c r="U1" s="3319"/>
      <c r="V1" s="3319"/>
      <c r="X1" s="3318" t="s">
        <v>1150</v>
      </c>
      <c r="Y1" s="3319"/>
      <c r="Z1" s="3319"/>
      <c r="AA1" s="3319"/>
      <c r="AB1" s="3319"/>
      <c r="AD1" s="3318" t="s">
        <v>1151</v>
      </c>
      <c r="AE1" s="3319"/>
      <c r="AF1" s="3319"/>
      <c r="AG1" s="3319"/>
      <c r="AH1" s="3319"/>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1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5"/>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1">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5"/>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1">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2">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3"/>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3"/>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4"/>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8"/>
      <c r="B4" s="3006" t="s">
        <v>1625</v>
      </c>
      <c r="C4" s="3006"/>
      <c r="D4" s="3006"/>
      <c r="E4" s="1958"/>
    </row>
    <row r="5" spans="1:5" ht="16.5" thickTop="1">
      <c r="A5" s="1956"/>
      <c r="B5" s="3004" t="s">
        <v>1617</v>
      </c>
      <c r="C5" s="1959" t="s">
        <v>1618</v>
      </c>
      <c r="D5" s="1039">
        <f ca="1">结果表!H101</f>
        <v>1793</v>
      </c>
      <c r="E5" s="1956"/>
    </row>
    <row r="6" spans="1:5" ht="15.75">
      <c r="A6" s="1956"/>
      <c r="B6" s="3004"/>
      <c r="C6" s="1959" t="s">
        <v>1619</v>
      </c>
      <c r="D6" s="1039" t="str">
        <f ca="1">NUMBERSTRING(INT(D5*10000),2)&amp;"元整"</f>
        <v>壹仟柒佰玖拾叁万元整</v>
      </c>
      <c r="E6" s="1956"/>
    </row>
    <row r="7" spans="1:5" ht="15.75">
      <c r="A7" s="1956"/>
      <c r="B7" s="3009"/>
      <c r="C7" s="1960" t="s">
        <v>1620</v>
      </c>
      <c r="D7" s="1040">
        <f ca="1">结果表!H102</f>
        <v>41198</v>
      </c>
      <c r="E7" s="1956"/>
    </row>
    <row r="8" spans="1:5" ht="15.75">
      <c r="A8" s="1956"/>
      <c r="B8" s="3010" t="str">
        <f>结果表!E103</f>
        <v>2.估价师知悉的法定优先受偿款</v>
      </c>
      <c r="C8" s="1961" t="s">
        <v>1621</v>
      </c>
      <c r="D8" s="1040">
        <f>结果表!H103</f>
        <v>0</v>
      </c>
      <c r="E8" s="1956"/>
    </row>
    <row r="9" spans="1:5" ht="15.75">
      <c r="A9" s="1956"/>
      <c r="B9" s="3012"/>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3" t="str">
        <f>结果表!E107</f>
        <v>3.房地产抵押价值</v>
      </c>
      <c r="C13" s="1964" t="s">
        <v>1618</v>
      </c>
      <c r="D13" s="1042">
        <f ca="1">结果表!H107</f>
        <v>1793</v>
      </c>
      <c r="E13" s="1956"/>
    </row>
    <row r="14" spans="1:5" ht="15.75">
      <c r="A14" s="1956"/>
      <c r="B14" s="3004"/>
      <c r="C14" s="1959" t="s">
        <v>1619</v>
      </c>
      <c r="D14" s="1039" t="str">
        <f ca="1">NUMBERSTRING(INT(D13*10000),2)&amp;"元整"</f>
        <v>壹仟柒佰玖拾叁万元整</v>
      </c>
      <c r="E14" s="1956"/>
    </row>
    <row r="15" spans="1:5" ht="15">
      <c r="A15" s="1956"/>
      <c r="B15" s="3009"/>
      <c r="C15" s="1960" t="s">
        <v>1629</v>
      </c>
      <c r="D15" s="1051">
        <f ca="1">结果表!H108</f>
        <v>41198</v>
      </c>
      <c r="E15" s="1956"/>
    </row>
    <row r="16" spans="1:5" ht="15">
      <c r="A16" s="1956"/>
      <c r="B16" s="3010" t="str">
        <f>结果表!E109</f>
        <v>——</v>
      </c>
      <c r="C16" s="1964" t="s">
        <v>1630</v>
      </c>
      <c r="D16" s="1965" t="str">
        <f>结果表!H109</f>
        <v>——</v>
      </c>
      <c r="E16" s="1956"/>
    </row>
    <row r="17" spans="1:5" ht="15.75">
      <c r="A17" s="1956"/>
      <c r="B17" s="3011"/>
      <c r="C17" s="1959" t="s">
        <v>1631</v>
      </c>
      <c r="D17" s="1039" t="e">
        <f>NUMBERSTRING(INT(D16*10000),2)&amp;"元整"</f>
        <v>#VALUE!</v>
      </c>
      <c r="E17" s="1956"/>
    </row>
    <row r="18" spans="1:5" ht="15">
      <c r="A18" s="1956"/>
      <c r="B18" s="3012"/>
      <c r="C18" s="1960" t="s">
        <v>1620</v>
      </c>
      <c r="D18" s="1051" t="str">
        <f>结果表!H110</f>
        <v>——</v>
      </c>
      <c r="E18" s="1956"/>
    </row>
    <row r="19" spans="1:5" ht="15.75">
      <c r="A19" s="1956"/>
      <c r="B19" s="3003" t="str">
        <f>结果表!E111</f>
        <v>——</v>
      </c>
      <c r="C19" s="1964" t="s">
        <v>1618</v>
      </c>
      <c r="D19" s="1040" t="str">
        <f>结果表!H111</f>
        <v>——</v>
      </c>
      <c r="E19" s="1956"/>
    </row>
    <row r="20" spans="1:5" ht="15.75">
      <c r="A20" s="1956"/>
      <c r="B20" s="3004"/>
      <c r="C20" s="1959" t="s">
        <v>1631</v>
      </c>
      <c r="D20" s="1039" t="e">
        <f>NUMBERSTRING(INT(D19*10000),2)&amp;"元整"</f>
        <v>#VALUE!</v>
      </c>
      <c r="E20" s="1956"/>
    </row>
    <row r="21" spans="1:5" ht="15.75" thickBot="1">
      <c r="A21" s="1956"/>
      <c r="B21" s="3005"/>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7" zoomScale="90" zoomScaleNormal="90" workbookViewId="0">
      <selection activeCell="I48" sqref="I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3147</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5.4</v>
      </c>
      <c r="C3" s="400" t="s">
        <v>2524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2525</v>
      </c>
      <c r="B4" s="402"/>
      <c r="C4" s="3236" t="s">
        <v>2526</v>
      </c>
      <c r="D4" s="3237"/>
      <c r="E4" s="3238" t="s">
        <v>2527</v>
      </c>
      <c r="F4" s="3239"/>
      <c r="G4" s="3236" t="s">
        <v>2528</v>
      </c>
      <c r="H4" s="3237"/>
      <c r="I4" s="3236" t="s">
        <v>2529</v>
      </c>
      <c r="J4" s="3237"/>
      <c r="K4" s="610" t="s">
        <v>2530</v>
      </c>
      <c r="L4" s="1129"/>
      <c r="M4" s="1130"/>
      <c r="N4" s="1130"/>
      <c r="O4" s="1130"/>
      <c r="P4" s="3270" t="s">
        <v>2531</v>
      </c>
      <c r="Q4" s="3271"/>
      <c r="R4" s="3274" t="s">
        <v>2527</v>
      </c>
      <c r="S4" s="3275"/>
      <c r="T4" s="3274" t="s">
        <v>2528</v>
      </c>
      <c r="U4" s="3275"/>
      <c r="V4" s="3276" t="s">
        <v>2529</v>
      </c>
      <c r="W4" s="3276"/>
      <c r="X4" s="2954"/>
      <c r="Y4" s="3274" t="s">
        <v>2531</v>
      </c>
      <c r="Z4" s="3275"/>
      <c r="AA4" s="3280" t="s">
        <v>2527</v>
      </c>
      <c r="AB4" s="3280" t="s">
        <v>2528</v>
      </c>
      <c r="AC4" s="3267" t="s">
        <v>2529</v>
      </c>
    </row>
    <row r="5" spans="1:29" ht="15">
      <c r="A5" s="404"/>
      <c r="B5" s="405"/>
      <c r="C5" s="3278" t="s">
        <v>3104</v>
      </c>
      <c r="D5" s="3256"/>
      <c r="E5" s="3281" t="s">
        <v>3151</v>
      </c>
      <c r="F5" s="3263"/>
      <c r="G5" s="3278" t="s">
        <v>3148</v>
      </c>
      <c r="H5" s="3256"/>
      <c r="I5" s="3278" t="s">
        <v>3170</v>
      </c>
      <c r="J5" s="3256"/>
      <c r="K5" s="610"/>
      <c r="L5" s="1129"/>
      <c r="M5" s="1130"/>
      <c r="N5" s="1130"/>
      <c r="O5" s="1130"/>
      <c r="P5" s="3272"/>
      <c r="Q5" s="3243"/>
      <c r="R5" s="3248"/>
      <c r="S5" s="3249"/>
      <c r="T5" s="3248"/>
      <c r="U5" s="3249"/>
      <c r="V5" s="3252"/>
      <c r="W5" s="3252"/>
      <c r="X5" s="2952"/>
      <c r="Y5" s="3248"/>
      <c r="Z5" s="3249"/>
      <c r="AA5" s="3234"/>
      <c r="AB5" s="3234"/>
      <c r="AC5" s="3268"/>
    </row>
    <row r="6" spans="1:29" ht="15.75" customHeight="1" thickBot="1">
      <c r="A6" s="406"/>
      <c r="B6" s="407"/>
      <c r="C6" s="3277" t="s">
        <v>3152</v>
      </c>
      <c r="D6" s="3254"/>
      <c r="E6" s="3277" t="s">
        <v>3152</v>
      </c>
      <c r="F6" s="3254"/>
      <c r="G6" s="3326" t="s">
        <v>3157</v>
      </c>
      <c r="H6" s="3327"/>
      <c r="I6" s="3277" t="s">
        <v>3150</v>
      </c>
      <c r="J6" s="3254"/>
      <c r="K6" s="610" t="s">
        <v>2537</v>
      </c>
      <c r="L6" s="1129"/>
      <c r="M6" s="1130"/>
      <c r="N6" s="1130"/>
      <c r="O6" s="1130"/>
      <c r="P6" s="3273"/>
      <c r="Q6" s="3245"/>
      <c r="R6" s="3248"/>
      <c r="S6" s="3249"/>
      <c r="T6" s="3250"/>
      <c r="U6" s="3251"/>
      <c r="V6" s="3252"/>
      <c r="W6" s="3252"/>
      <c r="X6" s="2952"/>
      <c r="Y6" s="3250"/>
      <c r="Z6" s="3251"/>
      <c r="AA6" s="3235"/>
      <c r="AB6" s="3235"/>
      <c r="AC6" s="3269"/>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79" t="s">
        <v>2539</v>
      </c>
      <c r="Q7" s="3259"/>
      <c r="R7" s="769" t="s">
        <v>17</v>
      </c>
      <c r="S7" s="770">
        <f t="shared" ref="S7:S15" si="0">F7</f>
        <v>100</v>
      </c>
      <c r="T7" s="769" t="s">
        <v>17</v>
      </c>
      <c r="U7" s="770">
        <f t="shared" ref="U7:U15" si="1">H7</f>
        <v>100</v>
      </c>
      <c r="V7" s="769" t="s">
        <v>17</v>
      </c>
      <c r="W7" s="770">
        <f t="shared" ref="W7:W15" si="2">J7</f>
        <v>100</v>
      </c>
      <c r="X7" s="771"/>
      <c r="Y7" s="3257" t="s">
        <v>2539</v>
      </c>
      <c r="Z7" s="3258"/>
      <c r="AA7" s="772">
        <f>D7/F7</f>
        <v>1</v>
      </c>
      <c r="AB7" s="772">
        <f>D7/H7</f>
        <v>1</v>
      </c>
      <c r="AC7" s="2667">
        <f>D7/J7</f>
        <v>1</v>
      </c>
    </row>
    <row r="8" spans="1:29" s="117" customFormat="1" ht="15.75" thickBot="1">
      <c r="A8" s="408" t="s">
        <v>2540</v>
      </c>
      <c r="B8" s="409"/>
      <c r="C8" s="414" t="s">
        <v>2577</v>
      </c>
      <c r="D8" s="411">
        <v>100</v>
      </c>
      <c r="E8" s="414" t="s">
        <v>3105</v>
      </c>
      <c r="F8" s="413">
        <f>SUMIF(62:62,E8,63:63)-SUMIF(62:62,C8,63:63)+100</f>
        <v>100</v>
      </c>
      <c r="G8" s="414" t="s">
        <v>3105</v>
      </c>
      <c r="H8" s="411">
        <f>SUMIF(62:62,G8,63:63)-SUMIF(62:62,C8,63:63)+100</f>
        <v>100</v>
      </c>
      <c r="I8" s="414" t="s">
        <v>3105</v>
      </c>
      <c r="J8" s="411">
        <f>SUMIF(62:62,I8,63:63)-SUMIF(62:62,C8,63:63)+100</f>
        <v>100</v>
      </c>
      <c r="K8" s="611"/>
      <c r="L8" s="1131"/>
      <c r="M8" s="1132"/>
      <c r="N8" s="1132"/>
      <c r="O8" s="1132"/>
      <c r="P8" s="3279" t="s">
        <v>2542</v>
      </c>
      <c r="Q8" s="3258"/>
      <c r="R8" s="769" t="s">
        <v>17</v>
      </c>
      <c r="S8" s="770">
        <f t="shared" si="0"/>
        <v>100</v>
      </c>
      <c r="T8" s="769" t="s">
        <v>17</v>
      </c>
      <c r="U8" s="770">
        <f t="shared" si="1"/>
        <v>100</v>
      </c>
      <c r="V8" s="769" t="s">
        <v>17</v>
      </c>
      <c r="W8" s="770">
        <f t="shared" si="2"/>
        <v>100</v>
      </c>
      <c r="X8" s="771"/>
      <c r="Y8" s="3257" t="s">
        <v>2542</v>
      </c>
      <c r="Z8" s="3258"/>
      <c r="AA8" s="772">
        <f t="shared" ref="AA8:AA47" si="3">D8/F8</f>
        <v>1</v>
      </c>
      <c r="AB8" s="772">
        <f t="shared" ref="AB8:AB47" si="4">D8/H8</f>
        <v>1</v>
      </c>
      <c r="AC8" s="2667">
        <f t="shared" ref="AC8:AC47" si="5">D8/J8</f>
        <v>1</v>
      </c>
    </row>
    <row r="9" spans="1:29" s="117" customFormat="1">
      <c r="A9" s="415" t="s">
        <v>2543</v>
      </c>
      <c r="B9" s="71" t="s">
        <v>2544</v>
      </c>
      <c r="C9" s="2966" t="s">
        <v>3106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2" t="s">
        <v>2545</v>
      </c>
      <c r="Q9" s="2946" t="str">
        <f t="shared" ref="Q9:Q15" si="6">B9</f>
        <v>用途</v>
      </c>
      <c r="R9" s="769" t="s">
        <v>17</v>
      </c>
      <c r="S9" s="770">
        <f t="shared" si="0"/>
        <v>100</v>
      </c>
      <c r="T9" s="769" t="s">
        <v>17</v>
      </c>
      <c r="U9" s="770">
        <f t="shared" si="1"/>
        <v>100</v>
      </c>
      <c r="V9" s="769" t="s">
        <v>17</v>
      </c>
      <c r="W9" s="770">
        <f t="shared" si="2"/>
        <v>100</v>
      </c>
      <c r="X9" s="771"/>
      <c r="Y9" s="3046" t="s">
        <v>2546</v>
      </c>
      <c r="Z9" s="2947" t="str">
        <f t="shared" ref="Z9:Z15" si="7">Q9</f>
        <v>用途</v>
      </c>
      <c r="AA9" s="772">
        <f t="shared" si="3"/>
        <v>1</v>
      </c>
      <c r="AB9" s="772">
        <f t="shared" si="4"/>
        <v>1</v>
      </c>
      <c r="AC9" s="2667">
        <f t="shared" si="5"/>
        <v>1</v>
      </c>
    </row>
    <row r="10" spans="1:29" s="427" customFormat="1" ht="27">
      <c r="A10" s="421"/>
      <c r="B10" s="2948" t="s">
        <v>2547</v>
      </c>
      <c r="C10" s="423" t="s">
        <v>3107</v>
      </c>
      <c r="D10" s="136">
        <v>100</v>
      </c>
      <c r="E10" s="423" t="s">
        <v>3107</v>
      </c>
      <c r="F10" s="136">
        <f>SUMIF(66:66,E10,67:67)-SUMIF(66:66,C10,67:67)+100</f>
        <v>100</v>
      </c>
      <c r="G10" s="423" t="s">
        <v>3107</v>
      </c>
      <c r="H10" s="136">
        <f>SUMIF(66:66,G10,67:67)-SUMIF(66:66,C10,67:67)+100</f>
        <v>100</v>
      </c>
      <c r="I10" s="423" t="s">
        <v>3107</v>
      </c>
      <c r="J10" s="136">
        <f>SUMIF(66:66,I10,67:67)-SUMIF(66:66,C10,67:67)+100</f>
        <v>100</v>
      </c>
      <c r="K10" s="612">
        <v>0</v>
      </c>
      <c r="L10" s="1134"/>
      <c r="M10" s="1135"/>
      <c r="N10" s="1135"/>
      <c r="O10" s="1135"/>
      <c r="P10" s="3232"/>
      <c r="Q10" s="2946" t="str">
        <f t="shared" si="6"/>
        <v>土地使用年限（年）</v>
      </c>
      <c r="R10" s="769" t="s">
        <v>17</v>
      </c>
      <c r="S10" s="770">
        <f t="shared" si="0"/>
        <v>100</v>
      </c>
      <c r="T10" s="769" t="s">
        <v>17</v>
      </c>
      <c r="U10" s="770">
        <f t="shared" si="1"/>
        <v>100</v>
      </c>
      <c r="V10" s="769" t="s">
        <v>17</v>
      </c>
      <c r="W10" s="770">
        <f t="shared" si="2"/>
        <v>100</v>
      </c>
      <c r="X10" s="771"/>
      <c r="Y10" s="3046"/>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2"/>
      <c r="Q11" s="2946" t="str">
        <f t="shared" si="6"/>
        <v>容积率</v>
      </c>
      <c r="R11" s="769" t="s">
        <v>17</v>
      </c>
      <c r="S11" s="770">
        <f t="shared" si="0"/>
        <v>100</v>
      </c>
      <c r="T11" s="769" t="s">
        <v>17</v>
      </c>
      <c r="U11" s="770">
        <f t="shared" si="1"/>
        <v>100</v>
      </c>
      <c r="V11" s="769" t="s">
        <v>17</v>
      </c>
      <c r="W11" s="770">
        <f t="shared" si="2"/>
        <v>100</v>
      </c>
      <c r="X11" s="771"/>
      <c r="Y11" s="3046"/>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2"/>
      <c r="Q12" s="2946">
        <f t="shared" si="6"/>
        <v>111</v>
      </c>
      <c r="R12" s="769" t="s">
        <v>17</v>
      </c>
      <c r="S12" s="770">
        <f t="shared" si="0"/>
        <v>100</v>
      </c>
      <c r="T12" s="769" t="s">
        <v>17</v>
      </c>
      <c r="U12" s="770">
        <f t="shared" si="1"/>
        <v>100</v>
      </c>
      <c r="V12" s="769" t="s">
        <v>17</v>
      </c>
      <c r="W12" s="770">
        <f t="shared" si="2"/>
        <v>100</v>
      </c>
      <c r="X12" s="771"/>
      <c r="Y12" s="3046"/>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2"/>
      <c r="Q13" s="2946">
        <f t="shared" si="6"/>
        <v>111</v>
      </c>
      <c r="R13" s="769" t="s">
        <v>17</v>
      </c>
      <c r="S13" s="770">
        <f t="shared" si="0"/>
        <v>100</v>
      </c>
      <c r="T13" s="769" t="s">
        <v>17</v>
      </c>
      <c r="U13" s="770">
        <f t="shared" si="1"/>
        <v>100</v>
      </c>
      <c r="V13" s="769" t="s">
        <v>17</v>
      </c>
      <c r="W13" s="770">
        <f t="shared" si="2"/>
        <v>100</v>
      </c>
      <c r="X13" s="771"/>
      <c r="Y13" s="3046"/>
      <c r="Z13" s="2947">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2"/>
      <c r="Q14" s="2946">
        <f t="shared" si="6"/>
        <v>111</v>
      </c>
      <c r="R14" s="769" t="s">
        <v>17</v>
      </c>
      <c r="S14" s="770">
        <f t="shared" si="0"/>
        <v>100</v>
      </c>
      <c r="T14" s="769" t="s">
        <v>17</v>
      </c>
      <c r="U14" s="770">
        <f t="shared" si="1"/>
        <v>100</v>
      </c>
      <c r="V14" s="769" t="s">
        <v>17</v>
      </c>
      <c r="W14" s="770">
        <f t="shared" si="2"/>
        <v>100</v>
      </c>
      <c r="X14" s="771"/>
      <c r="Y14" s="3046"/>
      <c r="Z14" s="2947">
        <f t="shared" si="7"/>
        <v>111</v>
      </c>
      <c r="AA14" s="772">
        <f t="shared" si="3"/>
        <v>1</v>
      </c>
      <c r="AB14" s="772">
        <f t="shared" si="4"/>
        <v>1</v>
      </c>
      <c r="AC14" s="2667">
        <f t="shared" si="5"/>
        <v>1</v>
      </c>
    </row>
    <row r="15" spans="1:29" ht="11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30" t="s">
        <v>2550</v>
      </c>
      <c r="Q15" s="2950" t="str">
        <f t="shared" si="6"/>
        <v>办公集聚程度</v>
      </c>
      <c r="R15" s="773" t="s">
        <v>17</v>
      </c>
      <c r="S15" s="774">
        <f t="shared" si="0"/>
        <v>100</v>
      </c>
      <c r="T15" s="773" t="s">
        <v>17</v>
      </c>
      <c r="U15" s="774">
        <f t="shared" si="1"/>
        <v>100</v>
      </c>
      <c r="V15" s="773" t="s">
        <v>17</v>
      </c>
      <c r="W15" s="774">
        <f t="shared" si="2"/>
        <v>100</v>
      </c>
      <c r="X15" s="2952"/>
      <c r="Y15" s="3223" t="s">
        <v>2550</v>
      </c>
      <c r="Z15" s="2953" t="str">
        <f t="shared" si="7"/>
        <v>办公集聚程度</v>
      </c>
      <c r="AA15" s="2951">
        <f t="shared" si="3"/>
        <v>1</v>
      </c>
      <c r="AB15" s="2951">
        <f t="shared" si="4"/>
        <v>1</v>
      </c>
      <c r="AC15" s="2670">
        <f t="shared" si="5"/>
        <v>1</v>
      </c>
    </row>
    <row r="16" spans="1:29" ht="15">
      <c r="A16" s="428"/>
      <c r="B16" s="630"/>
      <c r="C16" s="2607" t="s">
        <v>3101</v>
      </c>
      <c r="D16" s="448"/>
      <c r="E16" s="447" t="s">
        <v>3101</v>
      </c>
      <c r="F16" s="448"/>
      <c r="G16" s="2607" t="s">
        <v>3101</v>
      </c>
      <c r="H16" s="450"/>
      <c r="I16" s="447" t="s">
        <v>3101</v>
      </c>
      <c r="J16" s="448"/>
      <c r="K16" s="615"/>
      <c r="L16" s="1139"/>
      <c r="M16" s="1130"/>
      <c r="N16" s="1130"/>
      <c r="O16" s="1130"/>
      <c r="P16" s="3231"/>
      <c r="Q16" s="2950"/>
      <c r="R16" s="773"/>
      <c r="S16" s="774"/>
      <c r="T16" s="773"/>
      <c r="U16" s="774"/>
      <c r="V16" s="773"/>
      <c r="W16" s="774"/>
      <c r="X16" s="2952"/>
      <c r="Y16" s="3224"/>
      <c r="Z16" s="2953"/>
      <c r="AA16" s="2951">
        <v>1</v>
      </c>
      <c r="AB16" s="2951">
        <v>1</v>
      </c>
      <c r="AC16" s="2670">
        <v>1</v>
      </c>
    </row>
    <row r="17" spans="1:29" ht="22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31"/>
      <c r="Q17" s="2950" t="str">
        <f>B17</f>
        <v>交通便捷度</v>
      </c>
      <c r="R17" s="773" t="s">
        <v>17</v>
      </c>
      <c r="S17" s="774">
        <f>F17</f>
        <v>100</v>
      </c>
      <c r="T17" s="773" t="s">
        <v>17</v>
      </c>
      <c r="U17" s="774">
        <f>H17</f>
        <v>100</v>
      </c>
      <c r="V17" s="773" t="s">
        <v>17</v>
      </c>
      <c r="W17" s="774">
        <f>J17</f>
        <v>100</v>
      </c>
      <c r="X17" s="2952"/>
      <c r="Y17" s="3224"/>
      <c r="Z17" s="2953" t="str">
        <f>Q17</f>
        <v>交通便捷度</v>
      </c>
      <c r="AA17" s="2951">
        <f t="shared" si="3"/>
        <v>1</v>
      </c>
      <c r="AB17" s="2951">
        <f t="shared" si="4"/>
        <v>1</v>
      </c>
      <c r="AC17" s="2670">
        <f t="shared" si="5"/>
        <v>1</v>
      </c>
    </row>
    <row r="18" spans="1:29" ht="15">
      <c r="A18" s="428"/>
      <c r="B18" s="632"/>
      <c r="C18" s="2672" t="s">
        <v>3101</v>
      </c>
      <c r="D18" s="450"/>
      <c r="E18" s="2672" t="s">
        <v>3101</v>
      </c>
      <c r="F18" s="450"/>
      <c r="G18" s="2672" t="s">
        <v>3101</v>
      </c>
      <c r="H18" s="448"/>
      <c r="I18" s="2672" t="s">
        <v>3101</v>
      </c>
      <c r="J18" s="448"/>
      <c r="K18" s="615"/>
      <c r="L18" s="1139"/>
      <c r="M18" s="1130"/>
      <c r="N18" s="1130"/>
      <c r="O18" s="1130"/>
      <c r="P18" s="3231"/>
      <c r="Q18" s="2950"/>
      <c r="R18" s="773"/>
      <c r="S18" s="774"/>
      <c r="T18" s="773"/>
      <c r="U18" s="774"/>
      <c r="V18" s="773"/>
      <c r="W18" s="774"/>
      <c r="X18" s="2952"/>
      <c r="Y18" s="3224"/>
      <c r="Z18" s="2953"/>
      <c r="AA18" s="2951">
        <v>1</v>
      </c>
      <c r="AB18" s="2951">
        <v>1</v>
      </c>
      <c r="AC18" s="2670">
        <v>1</v>
      </c>
    </row>
    <row r="19" spans="1:29" ht="22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31"/>
      <c r="Q19" s="2950" t="str">
        <f>B19</f>
        <v>公共配套设施</v>
      </c>
      <c r="R19" s="773" t="s">
        <v>17</v>
      </c>
      <c r="S19" s="774">
        <f>F19</f>
        <v>100</v>
      </c>
      <c r="T19" s="773" t="s">
        <v>17</v>
      </c>
      <c r="U19" s="774">
        <f>H19</f>
        <v>100</v>
      </c>
      <c r="V19" s="773" t="s">
        <v>17</v>
      </c>
      <c r="W19" s="774">
        <f>J19</f>
        <v>100</v>
      </c>
      <c r="X19" s="2952"/>
      <c r="Y19" s="3224"/>
      <c r="Z19" s="2953" t="str">
        <f>Q19</f>
        <v>公共配套设施</v>
      </c>
      <c r="AA19" s="2951">
        <f t="shared" si="3"/>
        <v>1</v>
      </c>
      <c r="AB19" s="2951">
        <f t="shared" si="4"/>
        <v>1</v>
      </c>
      <c r="AC19" s="2670">
        <f t="shared" si="5"/>
        <v>1</v>
      </c>
    </row>
    <row r="20" spans="1:29" ht="15">
      <c r="A20" s="428"/>
      <c r="B20" s="632"/>
      <c r="C20" s="2607" t="s">
        <v>3101</v>
      </c>
      <c r="D20" s="448"/>
      <c r="E20" s="2607" t="s">
        <v>3101</v>
      </c>
      <c r="F20" s="448"/>
      <c r="G20" s="2607" t="s">
        <v>3101</v>
      </c>
      <c r="H20" s="448"/>
      <c r="I20" s="2607" t="s">
        <v>3101</v>
      </c>
      <c r="J20" s="448"/>
      <c r="K20" s="615"/>
      <c r="L20" s="1139"/>
      <c r="M20" s="1130"/>
      <c r="N20" s="1130"/>
      <c r="O20" s="1130"/>
      <c r="P20" s="3231"/>
      <c r="Q20" s="2950"/>
      <c r="R20" s="773"/>
      <c r="S20" s="774"/>
      <c r="T20" s="773"/>
      <c r="U20" s="774"/>
      <c r="V20" s="773"/>
      <c r="W20" s="774"/>
      <c r="X20" s="2952"/>
      <c r="Y20" s="3224"/>
      <c r="Z20" s="2953"/>
      <c r="AA20" s="2951">
        <v>1</v>
      </c>
      <c r="AB20" s="2951">
        <v>1</v>
      </c>
      <c r="AC20" s="2670">
        <v>1</v>
      </c>
    </row>
    <row r="21" spans="1:29" ht="28.5">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31"/>
      <c r="Q21" s="2950" t="str">
        <f>B21</f>
        <v>基础设施水平</v>
      </c>
      <c r="R21" s="773" t="s">
        <v>17</v>
      </c>
      <c r="S21" s="774">
        <f>F21</f>
        <v>100</v>
      </c>
      <c r="T21" s="773" t="s">
        <v>17</v>
      </c>
      <c r="U21" s="774">
        <f>H21</f>
        <v>100</v>
      </c>
      <c r="V21" s="773" t="s">
        <v>17</v>
      </c>
      <c r="W21" s="774">
        <f>J21</f>
        <v>100</v>
      </c>
      <c r="X21" s="2952"/>
      <c r="Y21" s="3224"/>
      <c r="Z21" s="2953" t="str">
        <f>Q21</f>
        <v>基础设施水平</v>
      </c>
      <c r="AA21" s="2951">
        <f t="shared" ref="AA21" si="8">D21/F21</f>
        <v>1</v>
      </c>
      <c r="AB21" s="2951">
        <f t="shared" ref="AB21" si="9">D21/H21</f>
        <v>1</v>
      </c>
      <c r="AC21" s="2670">
        <f t="shared" ref="AC21" si="10">D21/J21</f>
        <v>1</v>
      </c>
    </row>
    <row r="22" spans="1:29" ht="15">
      <c r="A22" s="428"/>
      <c r="B22" s="633"/>
      <c r="C22" s="2672" t="s">
        <v>3134</v>
      </c>
      <c r="D22" s="448"/>
      <c r="E22" s="2672" t="s">
        <v>3134</v>
      </c>
      <c r="F22" s="448"/>
      <c r="G22" s="2672" t="s">
        <v>3134</v>
      </c>
      <c r="H22" s="448"/>
      <c r="I22" s="2672" t="s">
        <v>3134</v>
      </c>
      <c r="J22" s="448"/>
      <c r="K22" s="1381"/>
      <c r="L22" s="1139"/>
      <c r="M22" s="1130"/>
      <c r="N22" s="1130"/>
      <c r="O22" s="1130"/>
      <c r="P22" s="3231"/>
      <c r="Q22" s="2950"/>
      <c r="R22" s="773"/>
      <c r="S22" s="774"/>
      <c r="T22" s="773"/>
      <c r="U22" s="774"/>
      <c r="V22" s="773"/>
      <c r="W22" s="774"/>
      <c r="X22" s="2952"/>
      <c r="Y22" s="3224"/>
      <c r="Z22" s="2953"/>
      <c r="AA22" s="2951">
        <v>1</v>
      </c>
      <c r="AB22" s="2951">
        <v>1</v>
      </c>
      <c r="AC22" s="2670">
        <v>1</v>
      </c>
    </row>
    <row r="23" spans="1:29" ht="185.25">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31"/>
      <c r="Q23" s="2950" t="str">
        <f>B23</f>
        <v>环境质量</v>
      </c>
      <c r="R23" s="773" t="s">
        <v>17</v>
      </c>
      <c r="S23" s="774">
        <f>F23</f>
        <v>100</v>
      </c>
      <c r="T23" s="773" t="s">
        <v>17</v>
      </c>
      <c r="U23" s="774">
        <f>H23</f>
        <v>100</v>
      </c>
      <c r="V23" s="773" t="s">
        <v>17</v>
      </c>
      <c r="W23" s="774">
        <f>J23</f>
        <v>100</v>
      </c>
      <c r="X23" s="2952"/>
      <c r="Y23" s="3224"/>
      <c r="Z23" s="2953" t="str">
        <f>Q23</f>
        <v>环境质量</v>
      </c>
      <c r="AA23" s="2951">
        <f t="shared" si="3"/>
        <v>1</v>
      </c>
      <c r="AB23" s="2951">
        <f t="shared" si="4"/>
        <v>1</v>
      </c>
      <c r="AC23" s="2670">
        <f t="shared" si="5"/>
        <v>1</v>
      </c>
    </row>
    <row r="24" spans="1:29" ht="15">
      <c r="A24" s="428"/>
      <c r="B24" s="633"/>
      <c r="C24" s="2607" t="s">
        <v>3101</v>
      </c>
      <c r="D24" s="448"/>
      <c r="E24" s="2607" t="s">
        <v>3101</v>
      </c>
      <c r="F24" s="448"/>
      <c r="G24" s="2607" t="s">
        <v>3101</v>
      </c>
      <c r="H24" s="448"/>
      <c r="I24" s="2607" t="s">
        <v>3101</v>
      </c>
      <c r="J24" s="448"/>
      <c r="K24" s="615"/>
      <c r="L24" s="1139"/>
      <c r="M24" s="1130"/>
      <c r="N24" s="1130"/>
      <c r="O24" s="1130"/>
      <c r="P24" s="3231"/>
      <c r="Q24" s="2950"/>
      <c r="R24" s="773"/>
      <c r="S24" s="774"/>
      <c r="T24" s="773"/>
      <c r="U24" s="774"/>
      <c r="V24" s="773"/>
      <c r="W24" s="774"/>
      <c r="X24" s="2952"/>
      <c r="Y24" s="3224"/>
      <c r="Z24" s="2953"/>
      <c r="AA24" s="2951">
        <v>1</v>
      </c>
      <c r="AB24" s="2951">
        <v>1</v>
      </c>
      <c r="AC24" s="2670">
        <v>1</v>
      </c>
    </row>
    <row r="25" spans="1:29" ht="27">
      <c r="A25" s="404"/>
      <c r="B25" s="631" t="s">
        <v>2681</v>
      </c>
      <c r="C25" s="2970" t="s">
        <v>3143</v>
      </c>
      <c r="D25" s="435">
        <v>100</v>
      </c>
      <c r="E25" s="2970" t="s">
        <v>3175</v>
      </c>
      <c r="F25" s="435">
        <f>SUMIF(87:87,E26,88:88)-SUMIF(87:87,C26,88:88)+100</f>
        <v>96</v>
      </c>
      <c r="G25" s="3338" t="s">
        <v>3143</v>
      </c>
      <c r="H25" s="435">
        <f>SUMIF(87:87,G26,88:88)-SUMIF(87:87,C26,88:88)+100</f>
        <v>100</v>
      </c>
      <c r="I25" s="2970" t="s">
        <v>3149</v>
      </c>
      <c r="J25" s="435">
        <f>SUMIF(87:87,I26,88:88)-SUMIF(87:87,C26,88:88)+100</f>
        <v>96</v>
      </c>
      <c r="K25" s="614">
        <v>2</v>
      </c>
      <c r="L25" s="1139"/>
      <c r="M25" s="1130"/>
      <c r="N25" s="1130"/>
      <c r="O25" s="1130"/>
      <c r="P25" s="3231"/>
      <c r="Q25" s="2950" t="str">
        <f>B25</f>
        <v>毗邻道路的类型与等级</v>
      </c>
      <c r="R25" s="773" t="s">
        <v>17</v>
      </c>
      <c r="S25" s="774">
        <f>F25</f>
        <v>96</v>
      </c>
      <c r="T25" s="773" t="s">
        <v>17</v>
      </c>
      <c r="U25" s="774">
        <f>H25</f>
        <v>100</v>
      </c>
      <c r="V25" s="773" t="s">
        <v>17</v>
      </c>
      <c r="W25" s="774">
        <f>J25</f>
        <v>96</v>
      </c>
      <c r="X25" s="2952"/>
      <c r="Y25" s="3224"/>
      <c r="Z25" s="2953" t="str">
        <f>Q25</f>
        <v>毗邻道路的类型与等级</v>
      </c>
      <c r="AA25" s="2951">
        <f t="shared" si="3"/>
        <v>1.0416666666666667</v>
      </c>
      <c r="AB25" s="2951">
        <f t="shared" si="4"/>
        <v>1</v>
      </c>
      <c r="AC25" s="2670">
        <f t="shared" si="5"/>
        <v>1.0416666666666667</v>
      </c>
    </row>
    <row r="26" spans="1:29" ht="15">
      <c r="A26" s="404"/>
      <c r="B26" s="632"/>
      <c r="C26" s="634" t="s">
        <v>3109</v>
      </c>
      <c r="D26" s="435"/>
      <c r="E26" s="616" t="s">
        <v>3112</v>
      </c>
      <c r="F26" s="435"/>
      <c r="G26" s="634" t="s">
        <v>3109</v>
      </c>
      <c r="H26" s="435"/>
      <c r="I26" s="616" t="s">
        <v>3112</v>
      </c>
      <c r="J26" s="435"/>
      <c r="K26" s="615"/>
      <c r="L26" s="1139"/>
      <c r="M26" s="1130"/>
      <c r="N26" s="1130"/>
      <c r="O26" s="1130"/>
      <c r="P26" s="3231"/>
      <c r="Q26" s="2950"/>
      <c r="R26" s="773"/>
      <c r="S26" s="774"/>
      <c r="T26" s="773"/>
      <c r="U26" s="774"/>
      <c r="V26" s="773"/>
      <c r="W26" s="774"/>
      <c r="X26" s="2952"/>
      <c r="Y26" s="3224"/>
      <c r="Z26" s="2953"/>
      <c r="AA26" s="2951">
        <v>1</v>
      </c>
      <c r="AB26" s="2951">
        <v>1</v>
      </c>
      <c r="AC26" s="2670">
        <v>1</v>
      </c>
    </row>
    <row r="27" spans="1:29" ht="15">
      <c r="A27" s="428"/>
      <c r="B27" s="632" t="s">
        <v>2649</v>
      </c>
      <c r="C27" s="634" t="s">
        <v>3085</v>
      </c>
      <c r="D27" s="435">
        <v>100</v>
      </c>
      <c r="E27" s="616" t="s">
        <v>3117</v>
      </c>
      <c r="F27" s="435">
        <f>SUMIF(89:89,E27,90:90)-SUMIF(89:89,C27,90:90)+100</f>
        <v>103</v>
      </c>
      <c r="G27" s="634" t="s">
        <v>3085</v>
      </c>
      <c r="H27" s="435">
        <f>SUMIF(89:89,G27,90:90)-SUMIF(89:89,C27,90:90)+100</f>
        <v>100</v>
      </c>
      <c r="I27" s="616" t="s">
        <v>3085</v>
      </c>
      <c r="J27" s="435">
        <f>SUMIF(89:89,I27,90:90)-SUMIF(89:89,C27,90:90)+100</f>
        <v>100</v>
      </c>
      <c r="K27" s="612">
        <v>3</v>
      </c>
      <c r="L27" s="1139"/>
      <c r="M27" s="1130"/>
      <c r="N27" s="1130"/>
      <c r="O27" s="1130"/>
      <c r="P27" s="3231"/>
      <c r="Q27" s="2950" t="str">
        <f t="shared" ref="Q27:Q47" si="11">B27</f>
        <v>楼层</v>
      </c>
      <c r="R27" s="773" t="s">
        <v>17</v>
      </c>
      <c r="S27" s="774">
        <f>F27</f>
        <v>103</v>
      </c>
      <c r="T27" s="773" t="s">
        <v>17</v>
      </c>
      <c r="U27" s="774">
        <f>H27</f>
        <v>100</v>
      </c>
      <c r="V27" s="773" t="s">
        <v>17</v>
      </c>
      <c r="W27" s="774">
        <f>J27</f>
        <v>100</v>
      </c>
      <c r="X27" s="2952"/>
      <c r="Y27" s="3224"/>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31"/>
      <c r="Q28" s="2946" t="str">
        <f t="shared" si="11"/>
        <v>朝向</v>
      </c>
      <c r="R28" s="769" t="s">
        <v>17</v>
      </c>
      <c r="S28" s="770">
        <f>F28</f>
        <v>100</v>
      </c>
      <c r="T28" s="769" t="s">
        <v>17</v>
      </c>
      <c r="U28" s="770">
        <f>H28</f>
        <v>100</v>
      </c>
      <c r="V28" s="769" t="s">
        <v>17</v>
      </c>
      <c r="W28" s="770">
        <f>J28</f>
        <v>100</v>
      </c>
      <c r="X28" s="771"/>
      <c r="Y28" s="3224"/>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31"/>
      <c r="Q29" s="2950">
        <f t="shared" si="11"/>
        <v>111</v>
      </c>
      <c r="R29" s="773" t="s">
        <v>17</v>
      </c>
      <c r="S29" s="774">
        <f t="shared" ref="S29:S47" si="12">F29</f>
        <v>100</v>
      </c>
      <c r="T29" s="773" t="s">
        <v>17</v>
      </c>
      <c r="U29" s="774">
        <f t="shared" ref="U29:U47" si="13">H29</f>
        <v>100</v>
      </c>
      <c r="V29" s="773" t="s">
        <v>17</v>
      </c>
      <c r="W29" s="774">
        <f t="shared" ref="W29:W47" si="14">J29</f>
        <v>100</v>
      </c>
      <c r="X29" s="2952"/>
      <c r="Y29" s="3224"/>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31"/>
      <c r="Q30" s="2950">
        <f t="shared" si="11"/>
        <v>111</v>
      </c>
      <c r="R30" s="773" t="s">
        <v>17</v>
      </c>
      <c r="S30" s="774">
        <f t="shared" si="12"/>
        <v>100</v>
      </c>
      <c r="T30" s="773" t="s">
        <v>17</v>
      </c>
      <c r="U30" s="774">
        <f t="shared" si="13"/>
        <v>100</v>
      </c>
      <c r="V30" s="773" t="s">
        <v>17</v>
      </c>
      <c r="W30" s="774">
        <f t="shared" si="14"/>
        <v>100</v>
      </c>
      <c r="X30" s="2952"/>
      <c r="Y30" s="3224"/>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31"/>
      <c r="Q31" s="2950">
        <f t="shared" si="11"/>
        <v>111</v>
      </c>
      <c r="R31" s="773" t="s">
        <v>17</v>
      </c>
      <c r="S31" s="774">
        <f t="shared" si="12"/>
        <v>100</v>
      </c>
      <c r="T31" s="773" t="s">
        <v>17</v>
      </c>
      <c r="U31" s="774">
        <f t="shared" si="13"/>
        <v>100</v>
      </c>
      <c r="V31" s="773" t="s">
        <v>17</v>
      </c>
      <c r="W31" s="774">
        <f t="shared" si="14"/>
        <v>100</v>
      </c>
      <c r="X31" s="2952"/>
      <c r="Y31" s="3224"/>
      <c r="Z31" s="2953">
        <f t="shared" si="15"/>
        <v>111</v>
      </c>
      <c r="AA31" s="2951">
        <f t="shared" si="3"/>
        <v>1</v>
      </c>
      <c r="AB31" s="295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31"/>
      <c r="Q32" s="2950">
        <f t="shared" si="11"/>
        <v>111</v>
      </c>
      <c r="R32" s="773" t="s">
        <v>17</v>
      </c>
      <c r="S32" s="774">
        <f t="shared" si="12"/>
        <v>100</v>
      </c>
      <c r="T32" s="773" t="s">
        <v>17</v>
      </c>
      <c r="U32" s="774">
        <f t="shared" si="13"/>
        <v>100</v>
      </c>
      <c r="V32" s="773" t="s">
        <v>17</v>
      </c>
      <c r="W32" s="774">
        <f t="shared" si="14"/>
        <v>100</v>
      </c>
      <c r="X32" s="2952"/>
      <c r="Y32" s="3224"/>
      <c r="Z32" s="2953">
        <f t="shared" si="15"/>
        <v>111</v>
      </c>
      <c r="AA32" s="2951">
        <f t="shared" si="3"/>
        <v>1</v>
      </c>
      <c r="AB32" s="2951">
        <f t="shared" si="4"/>
        <v>1</v>
      </c>
      <c r="AC32" s="2670">
        <f t="shared" si="5"/>
        <v>1</v>
      </c>
    </row>
    <row r="33" spans="1:29" ht="15">
      <c r="A33" s="440" t="s">
        <v>2553</v>
      </c>
      <c r="B33" s="71" t="s">
        <v>2683</v>
      </c>
      <c r="C33" s="2675" t="s">
        <v>3120</v>
      </c>
      <c r="D33" s="467">
        <v>100</v>
      </c>
      <c r="E33" s="2675" t="s">
        <v>3120</v>
      </c>
      <c r="F33" s="461">
        <f>SUMIF(101:101,E33,102:102)-SUMIF(101:101,C33,102:102)+100</f>
        <v>100</v>
      </c>
      <c r="G33" s="2675" t="s">
        <v>3120</v>
      </c>
      <c r="H33" s="435">
        <f>SUMIF(101:101,G33,102:102)-SUMIF(101:101,C33,102:102)+100</f>
        <v>100</v>
      </c>
      <c r="I33" s="2675" t="s">
        <v>3120</v>
      </c>
      <c r="J33" s="467">
        <f>SUMIF(101:101,I33,102:102)-SUMIF(101:101,C33,102:102)+100</f>
        <v>100</v>
      </c>
      <c r="K33" s="612">
        <v>2</v>
      </c>
      <c r="L33" s="1139"/>
      <c r="M33" s="1130"/>
      <c r="N33" s="1130"/>
      <c r="O33" s="1130"/>
      <c r="P33" s="3225" t="s">
        <v>2555</v>
      </c>
      <c r="Q33" s="2950" t="str">
        <f t="shared" si="11"/>
        <v>建筑类型</v>
      </c>
      <c r="R33" s="773" t="s">
        <v>17</v>
      </c>
      <c r="S33" s="774">
        <f t="shared" si="12"/>
        <v>100</v>
      </c>
      <c r="T33" s="773" t="s">
        <v>17</v>
      </c>
      <c r="U33" s="774">
        <f t="shared" si="13"/>
        <v>100</v>
      </c>
      <c r="V33" s="773" t="s">
        <v>17</v>
      </c>
      <c r="W33" s="774">
        <f t="shared" si="14"/>
        <v>100</v>
      </c>
      <c r="X33" s="2952"/>
      <c r="Y33" s="3228"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78.53</v>
      </c>
      <c r="D34" s="136">
        <v>100</v>
      </c>
      <c r="E34" s="430">
        <v>215</v>
      </c>
      <c r="F34" s="425">
        <f>LOOKUP(E34,104:104,105:105)-LOOKUP(C34,104:104,105:105)+100</f>
        <v>102</v>
      </c>
      <c r="G34" s="429">
        <v>330</v>
      </c>
      <c r="H34" s="136">
        <f>LOOKUP(G34,104:104,105:105)-LOOKUP(C34,104:104,105:105)+100</f>
        <v>104</v>
      </c>
      <c r="I34" s="429">
        <v>225</v>
      </c>
      <c r="J34" s="136">
        <f>LOOKUP(I34,104:104,105:105)-LOOKUP(C34,104:104,105:105)+100</f>
        <v>102</v>
      </c>
      <c r="K34" s="613"/>
      <c r="L34" s="1137"/>
      <c r="M34" s="1140"/>
      <c r="N34" s="1140"/>
      <c r="O34" s="1140"/>
      <c r="P34" s="3226"/>
      <c r="Q34" s="775" t="str">
        <f t="shared" si="11"/>
        <v>项目建筑规模</v>
      </c>
      <c r="R34" s="776" t="s">
        <v>17</v>
      </c>
      <c r="S34" s="777">
        <f t="shared" si="12"/>
        <v>102</v>
      </c>
      <c r="T34" s="776" t="s">
        <v>17</v>
      </c>
      <c r="U34" s="777">
        <f t="shared" si="13"/>
        <v>104</v>
      </c>
      <c r="V34" s="776" t="s">
        <v>17</v>
      </c>
      <c r="W34" s="777">
        <f t="shared" si="14"/>
        <v>102</v>
      </c>
      <c r="X34" s="778"/>
      <c r="Y34" s="3228"/>
      <c r="Z34" s="779" t="str">
        <f t="shared" si="15"/>
        <v>项目建筑规模</v>
      </c>
      <c r="AA34" s="2951">
        <f t="shared" si="3"/>
        <v>0.98039215686274506</v>
      </c>
      <c r="AB34" s="2951">
        <f t="shared" si="4"/>
        <v>0.96153846153846156</v>
      </c>
      <c r="AC34" s="2670">
        <f t="shared" si="5"/>
        <v>0.98039215686274506</v>
      </c>
    </row>
    <row r="35" spans="1:29" ht="15">
      <c r="A35" s="472"/>
      <c r="B35" s="2948" t="s">
        <v>2557</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39"/>
      <c r="M35" s="1130"/>
      <c r="N35" s="1130"/>
      <c r="O35" s="1130"/>
      <c r="P35" s="3226"/>
      <c r="Q35" s="2950" t="str">
        <f t="shared" si="11"/>
        <v>建筑结构</v>
      </c>
      <c r="R35" s="773" t="s">
        <v>17</v>
      </c>
      <c r="S35" s="774">
        <f t="shared" si="12"/>
        <v>100</v>
      </c>
      <c r="T35" s="773" t="s">
        <v>17</v>
      </c>
      <c r="U35" s="774">
        <f t="shared" si="13"/>
        <v>100</v>
      </c>
      <c r="V35" s="773" t="s">
        <v>17</v>
      </c>
      <c r="W35" s="774">
        <f t="shared" si="14"/>
        <v>100</v>
      </c>
      <c r="X35" s="2952"/>
      <c r="Y35" s="3228"/>
      <c r="Z35" s="2953" t="str">
        <f t="shared" si="15"/>
        <v>建筑结构</v>
      </c>
      <c r="AA35" s="2951">
        <f t="shared" si="3"/>
        <v>1</v>
      </c>
      <c r="AB35" s="2951">
        <f t="shared" si="4"/>
        <v>1</v>
      </c>
      <c r="AC35" s="2670">
        <f t="shared" si="5"/>
        <v>1</v>
      </c>
    </row>
    <row r="36" spans="1:29" ht="15">
      <c r="A36" s="472"/>
      <c r="B36" s="2948" t="s">
        <v>2651</v>
      </c>
      <c r="C36" s="460" t="s">
        <v>3124</v>
      </c>
      <c r="D36" s="435">
        <v>100</v>
      </c>
      <c r="E36" s="460" t="s">
        <v>3124</v>
      </c>
      <c r="F36" s="461">
        <f>SUMIF(108:108,E36,109:109)-SUMIF(108:108,C36,109:109)+100</f>
        <v>100</v>
      </c>
      <c r="G36" s="460" t="s">
        <v>3124</v>
      </c>
      <c r="H36" s="435">
        <f>SUMIF(108:108,G36,109:109)-SUMIF(108:108,C36,109:109)+100</f>
        <v>100</v>
      </c>
      <c r="I36" s="460" t="s">
        <v>3124</v>
      </c>
      <c r="J36" s="435">
        <f>SUMIF(108:108,I36,109:109)-SUMIF(108:108,C36,109:109)+100</f>
        <v>100</v>
      </c>
      <c r="K36" s="612">
        <v>2</v>
      </c>
      <c r="L36" s="1139"/>
      <c r="M36" s="1130"/>
      <c r="N36" s="1130"/>
      <c r="O36" s="1130"/>
      <c r="P36" s="3226"/>
      <c r="Q36" s="2950" t="str">
        <f t="shared" si="11"/>
        <v>公共部分装修</v>
      </c>
      <c r="R36" s="773" t="s">
        <v>17</v>
      </c>
      <c r="S36" s="774">
        <f t="shared" si="12"/>
        <v>100</v>
      </c>
      <c r="T36" s="773" t="s">
        <v>17</v>
      </c>
      <c r="U36" s="774">
        <f t="shared" si="13"/>
        <v>100</v>
      </c>
      <c r="V36" s="773" t="s">
        <v>17</v>
      </c>
      <c r="W36" s="774">
        <f t="shared" si="14"/>
        <v>100</v>
      </c>
      <c r="X36" s="2952"/>
      <c r="Y36" s="3228"/>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101</v>
      </c>
      <c r="G37" s="474">
        <v>0.95</v>
      </c>
      <c r="H37" s="461">
        <f>LOOKUP(G37,111:111,112:112)-LOOKUP(C37,111:111,112:112)+100</f>
        <v>101</v>
      </c>
      <c r="I37" s="474">
        <v>0.95</v>
      </c>
      <c r="J37" s="435">
        <f>LOOKUP(I37,111:111,112:112)-LOOKUP(C37,111:111,112:112)+100</f>
        <v>101</v>
      </c>
      <c r="K37" s="612">
        <v>1</v>
      </c>
      <c r="L37" s="1139"/>
      <c r="M37" s="1130">
        <v>2012</v>
      </c>
      <c r="N37" s="1130"/>
      <c r="O37" s="1130"/>
      <c r="P37" s="3226"/>
      <c r="Q37" s="2950" t="str">
        <f t="shared" si="11"/>
        <v>成新度</v>
      </c>
      <c r="R37" s="773" t="s">
        <v>17</v>
      </c>
      <c r="S37" s="774">
        <f t="shared" si="12"/>
        <v>101</v>
      </c>
      <c r="T37" s="773" t="s">
        <v>17</v>
      </c>
      <c r="U37" s="774">
        <f t="shared" si="13"/>
        <v>101</v>
      </c>
      <c r="V37" s="773" t="s">
        <v>17</v>
      </c>
      <c r="W37" s="774">
        <f t="shared" si="14"/>
        <v>101</v>
      </c>
      <c r="X37" s="2952"/>
      <c r="Y37" s="3228"/>
      <c r="Z37" s="2953" t="str">
        <f t="shared" si="15"/>
        <v>成新度</v>
      </c>
      <c r="AA37" s="2951">
        <f t="shared" si="3"/>
        <v>0.99009900990099009</v>
      </c>
      <c r="AB37" s="2951">
        <f t="shared" si="4"/>
        <v>0.99009900990099009</v>
      </c>
      <c r="AC37" s="2670">
        <f t="shared" si="5"/>
        <v>0.99009900990099009</v>
      </c>
    </row>
    <row r="38" spans="1:29" s="117" customFormat="1" ht="15">
      <c r="A38" s="473"/>
      <c r="B38" s="2948" t="s">
        <v>2684</v>
      </c>
      <c r="C38" s="460" t="s">
        <v>3129</v>
      </c>
      <c r="D38" s="136">
        <v>100</v>
      </c>
      <c r="E38" s="460" t="s">
        <v>3129</v>
      </c>
      <c r="F38" s="461">
        <f>SUMIF(113:113,E38,114:114)-SUMIF(113:113,C38,114:114)+100</f>
        <v>100</v>
      </c>
      <c r="G38" s="460" t="s">
        <v>3129</v>
      </c>
      <c r="H38" s="435">
        <f>SUMIF(113:113,G38,114:114)-SUMIF(113:113,C38,114:114)+100</f>
        <v>100</v>
      </c>
      <c r="I38" s="460" t="s">
        <v>3129</v>
      </c>
      <c r="J38" s="435">
        <f>SUMIF(113:113,I38,114:114)-SUMIF(113:113,C38,114:114)+100</f>
        <v>100</v>
      </c>
      <c r="K38" s="612">
        <v>5</v>
      </c>
      <c r="L38" s="1131"/>
      <c r="M38" s="1132">
        <v>2016</v>
      </c>
      <c r="N38" s="1132">
        <f>1-(2019-2016)/60</f>
        <v>0.95</v>
      </c>
      <c r="O38" s="1132"/>
      <c r="P38" s="3226"/>
      <c r="Q38" s="2946" t="str">
        <f t="shared" si="11"/>
        <v>写字楼等级</v>
      </c>
      <c r="R38" s="769" t="s">
        <v>17</v>
      </c>
      <c r="S38" s="770">
        <f t="shared" si="12"/>
        <v>100</v>
      </c>
      <c r="T38" s="769" t="s">
        <v>17</v>
      </c>
      <c r="U38" s="770">
        <f t="shared" si="13"/>
        <v>100</v>
      </c>
      <c r="V38" s="769" t="s">
        <v>17</v>
      </c>
      <c r="W38" s="770">
        <f t="shared" si="14"/>
        <v>100</v>
      </c>
      <c r="X38" s="771"/>
      <c r="Y38" s="3228"/>
      <c r="Z38" s="2947" t="str">
        <f t="shared" si="15"/>
        <v>写字楼等级</v>
      </c>
      <c r="AA38" s="772">
        <f t="shared" si="3"/>
        <v>1</v>
      </c>
      <c r="AB38" s="772">
        <f t="shared" si="4"/>
        <v>1</v>
      </c>
      <c r="AC38" s="2667">
        <f t="shared" si="5"/>
        <v>1</v>
      </c>
    </row>
    <row r="39" spans="1:29" ht="15">
      <c r="A39" s="472"/>
      <c r="B39" s="2948" t="s">
        <v>2685</v>
      </c>
      <c r="C39" s="460" t="s">
        <v>3132</v>
      </c>
      <c r="D39" s="435">
        <v>100</v>
      </c>
      <c r="E39" s="460" t="s">
        <v>3132</v>
      </c>
      <c r="F39" s="461">
        <f>SUMIF(115:115,E39,116:116)-SUMIF(115:115,C39,116:116)+100</f>
        <v>100</v>
      </c>
      <c r="G39" s="460" t="s">
        <v>3132</v>
      </c>
      <c r="H39" s="435">
        <f>SUMIF(115:115,G39,116:116)-SUMIF(115:115,C39,116:116)+100</f>
        <v>100</v>
      </c>
      <c r="I39" s="460" t="s">
        <v>3132</v>
      </c>
      <c r="J39" s="435">
        <f>SUMIF(115:115,I39,116:116)-SUMIF(115:115,C39,116:116)+100</f>
        <v>100</v>
      </c>
      <c r="K39" s="612">
        <v>2</v>
      </c>
      <c r="L39" s="1139"/>
      <c r="M39" s="1130">
        <v>2016</v>
      </c>
      <c r="N39" s="1130"/>
      <c r="O39" s="1130"/>
      <c r="P39" s="3226" t="s">
        <v>2555</v>
      </c>
      <c r="Q39" s="2950" t="str">
        <f t="shared" si="11"/>
        <v>物业管理</v>
      </c>
      <c r="R39" s="773" t="s">
        <v>17</v>
      </c>
      <c r="S39" s="774">
        <f t="shared" si="12"/>
        <v>100</v>
      </c>
      <c r="T39" s="773" t="s">
        <v>17</v>
      </c>
      <c r="U39" s="774">
        <f t="shared" si="13"/>
        <v>100</v>
      </c>
      <c r="V39" s="773" t="s">
        <v>17</v>
      </c>
      <c r="W39" s="774">
        <f t="shared" si="14"/>
        <v>100</v>
      </c>
      <c r="X39" s="2952"/>
      <c r="Y39" s="3228" t="s">
        <v>2555</v>
      </c>
      <c r="Z39" s="2953" t="str">
        <f t="shared" si="15"/>
        <v>物业管理</v>
      </c>
      <c r="AA39" s="2951">
        <f t="shared" si="3"/>
        <v>1</v>
      </c>
      <c r="AB39" s="2951">
        <f t="shared" si="4"/>
        <v>1</v>
      </c>
      <c r="AC39" s="2670">
        <f t="shared" si="5"/>
        <v>1</v>
      </c>
    </row>
    <row r="40" spans="1:29" ht="15">
      <c r="A40" s="472"/>
      <c r="B40" s="2948" t="s">
        <v>2653</v>
      </c>
      <c r="C40" s="460" t="s">
        <v>3136</v>
      </c>
      <c r="D40" s="435">
        <v>100</v>
      </c>
      <c r="E40" s="460" t="s">
        <v>3136</v>
      </c>
      <c r="F40" s="461">
        <f>SUMIF(117:117,E40,118:118)-SUMIF(117:117,C40,118:118)+100</f>
        <v>100</v>
      </c>
      <c r="G40" s="460" t="s">
        <v>3136</v>
      </c>
      <c r="H40" s="435">
        <f>SUMIF(117:117,G40,118:118)-SUMIF(117:117,C40,118:118)+100</f>
        <v>100</v>
      </c>
      <c r="I40" s="460" t="s">
        <v>3136</v>
      </c>
      <c r="J40" s="435">
        <f>SUMIF(117:117,I40,118:118)-SUMIF(117:117,C40,118:118)+100</f>
        <v>100</v>
      </c>
      <c r="K40" s="612">
        <v>2</v>
      </c>
      <c r="L40" s="1139"/>
      <c r="M40" s="1130"/>
      <c r="N40" s="1130"/>
      <c r="O40" s="1130"/>
      <c r="P40" s="3226"/>
      <c r="Q40" s="2950" t="str">
        <f t="shared" si="11"/>
        <v>市政基础设施</v>
      </c>
      <c r="R40" s="773" t="s">
        <v>17</v>
      </c>
      <c r="S40" s="774">
        <f t="shared" si="12"/>
        <v>100</v>
      </c>
      <c r="T40" s="773" t="s">
        <v>17</v>
      </c>
      <c r="U40" s="774">
        <f t="shared" si="13"/>
        <v>100</v>
      </c>
      <c r="V40" s="773" t="s">
        <v>17</v>
      </c>
      <c r="W40" s="774">
        <f t="shared" si="14"/>
        <v>100</v>
      </c>
      <c r="X40" s="2952"/>
      <c r="Y40" s="3228"/>
      <c r="Z40" s="2953" t="str">
        <f t="shared" si="15"/>
        <v>市政基础设施</v>
      </c>
      <c r="AA40" s="2951">
        <f t="shared" si="3"/>
        <v>1</v>
      </c>
      <c r="AB40" s="2951">
        <f t="shared" si="4"/>
        <v>1</v>
      </c>
      <c r="AC40" s="2670">
        <f t="shared" si="5"/>
        <v>1</v>
      </c>
    </row>
    <row r="41" spans="1:29" ht="15">
      <c r="A41" s="472"/>
      <c r="B41" s="2948"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39"/>
      <c r="M41" s="1130"/>
      <c r="N41" s="1130"/>
      <c r="O41" s="1130"/>
      <c r="P41" s="3226"/>
      <c r="Q41" s="2950" t="str">
        <f t="shared" si="11"/>
        <v>层高</v>
      </c>
      <c r="R41" s="773" t="s">
        <v>17</v>
      </c>
      <c r="S41" s="774">
        <f t="shared" si="12"/>
        <v>100</v>
      </c>
      <c r="T41" s="773" t="s">
        <v>17</v>
      </c>
      <c r="U41" s="774">
        <f t="shared" si="13"/>
        <v>100</v>
      </c>
      <c r="V41" s="773" t="s">
        <v>17</v>
      </c>
      <c r="W41" s="774">
        <f t="shared" si="14"/>
        <v>100</v>
      </c>
      <c r="X41" s="2952"/>
      <c r="Y41" s="3228"/>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6"/>
      <c r="Q42" s="775" t="str">
        <f t="shared" si="11"/>
        <v>单套建筑面积</v>
      </c>
      <c r="R42" s="776" t="s">
        <v>17</v>
      </c>
      <c r="S42" s="777">
        <f t="shared" si="12"/>
        <v>100</v>
      </c>
      <c r="T42" s="776" t="s">
        <v>17</v>
      </c>
      <c r="U42" s="777">
        <f t="shared" si="13"/>
        <v>100</v>
      </c>
      <c r="V42" s="776" t="s">
        <v>17</v>
      </c>
      <c r="W42" s="777">
        <f t="shared" si="14"/>
        <v>100</v>
      </c>
      <c r="X42" s="778"/>
      <c r="Y42" s="3228"/>
      <c r="Z42" s="779" t="str">
        <f t="shared" si="15"/>
        <v>单套建筑面积</v>
      </c>
      <c r="AA42" s="2951">
        <f t="shared" si="3"/>
        <v>1</v>
      </c>
      <c r="AB42" s="2951">
        <f t="shared" si="4"/>
        <v>1</v>
      </c>
      <c r="AC42" s="2670">
        <f t="shared" si="5"/>
        <v>1</v>
      </c>
    </row>
    <row r="43" spans="1:29" ht="15">
      <c r="A43" s="472"/>
      <c r="B43" s="2948" t="s">
        <v>2658</v>
      </c>
      <c r="C43" s="460" t="s">
        <v>3124</v>
      </c>
      <c r="D43" s="435">
        <v>100</v>
      </c>
      <c r="E43" s="460" t="s">
        <v>3124</v>
      </c>
      <c r="F43" s="461">
        <f>SUMIF(123:123,E43,124:124)-SUMIF(123:123,C43,124:124)+100</f>
        <v>100</v>
      </c>
      <c r="G43" s="460" t="s">
        <v>3126</v>
      </c>
      <c r="H43" s="435">
        <f>SUMIF(123:123,G43,124:124)-SUMIF(123:123,C43,124:124)+100</f>
        <v>98</v>
      </c>
      <c r="I43" s="460" t="s">
        <v>3124</v>
      </c>
      <c r="J43" s="435">
        <f>SUMIF(123:123,I43,124:124)-SUMIF(123:123,C43,124:124)+100</f>
        <v>100</v>
      </c>
      <c r="K43" s="612">
        <v>2</v>
      </c>
      <c r="L43" s="1139"/>
      <c r="M43" s="1130"/>
      <c r="N43" s="1130"/>
      <c r="O43" s="1130"/>
      <c r="P43" s="3226"/>
      <c r="Q43" s="2950" t="str">
        <f t="shared" si="11"/>
        <v>内部装修</v>
      </c>
      <c r="R43" s="773" t="s">
        <v>17</v>
      </c>
      <c r="S43" s="774">
        <f t="shared" si="12"/>
        <v>100</v>
      </c>
      <c r="T43" s="773" t="s">
        <v>17</v>
      </c>
      <c r="U43" s="774">
        <f t="shared" si="13"/>
        <v>98</v>
      </c>
      <c r="V43" s="773" t="s">
        <v>17</v>
      </c>
      <c r="W43" s="774">
        <f t="shared" si="14"/>
        <v>100</v>
      </c>
      <c r="X43" s="2952"/>
      <c r="Y43" s="3228"/>
      <c r="Z43" s="2953" t="str">
        <f t="shared" si="15"/>
        <v>内部装修</v>
      </c>
      <c r="AA43" s="2951">
        <f t="shared" si="3"/>
        <v>1</v>
      </c>
      <c r="AB43" s="2951">
        <f t="shared" si="4"/>
        <v>1.0204081632653061</v>
      </c>
      <c r="AC43" s="2670">
        <f t="shared" si="5"/>
        <v>1</v>
      </c>
    </row>
    <row r="44" spans="1:29" ht="15">
      <c r="A44" s="472"/>
      <c r="B44" s="2948" t="s">
        <v>2566</v>
      </c>
      <c r="C44" s="460" t="s">
        <v>3101</v>
      </c>
      <c r="D44" s="435">
        <v>100</v>
      </c>
      <c r="E44" s="460" t="s">
        <v>3101</v>
      </c>
      <c r="F44" s="461">
        <f>SUMIF(125:125,E44,126:126)-SUMIF(125:125,C44,126:126)+100</f>
        <v>100</v>
      </c>
      <c r="G44" s="460" t="s">
        <v>3101</v>
      </c>
      <c r="H44" s="435">
        <f>SUMIF(125:125,G44,126:126)-SUMIF(125:125,C44,126:126)+100</f>
        <v>100</v>
      </c>
      <c r="I44" s="460" t="s">
        <v>3101</v>
      </c>
      <c r="J44" s="435">
        <f>SUMIF(125:125,I44,126:126)-SUMIF(125:125,C44,126:126)+100</f>
        <v>100</v>
      </c>
      <c r="K44" s="612">
        <v>2</v>
      </c>
      <c r="L44" s="1139"/>
      <c r="M44" s="1130"/>
      <c r="N44" s="1130"/>
      <c r="O44" s="1130"/>
      <c r="P44" s="3226"/>
      <c r="Q44" s="2950" t="str">
        <f t="shared" si="11"/>
        <v>内部装修维护情况</v>
      </c>
      <c r="R44" s="773" t="s">
        <v>17</v>
      </c>
      <c r="S44" s="774">
        <f t="shared" si="12"/>
        <v>100</v>
      </c>
      <c r="T44" s="773" t="s">
        <v>17</v>
      </c>
      <c r="U44" s="774">
        <f t="shared" si="13"/>
        <v>100</v>
      </c>
      <c r="V44" s="773" t="s">
        <v>17</v>
      </c>
      <c r="W44" s="774">
        <f t="shared" si="14"/>
        <v>100</v>
      </c>
      <c r="X44" s="2952"/>
      <c r="Y44" s="3228"/>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6"/>
      <c r="Q45" s="2946">
        <f t="shared" si="11"/>
        <v>111</v>
      </c>
      <c r="R45" s="769" t="s">
        <v>17</v>
      </c>
      <c r="S45" s="770">
        <f t="shared" si="12"/>
        <v>100</v>
      </c>
      <c r="T45" s="769" t="s">
        <v>17</v>
      </c>
      <c r="U45" s="770">
        <f t="shared" si="13"/>
        <v>100</v>
      </c>
      <c r="V45" s="769" t="s">
        <v>17</v>
      </c>
      <c r="W45" s="770">
        <f t="shared" si="14"/>
        <v>100</v>
      </c>
      <c r="X45" s="771"/>
      <c r="Y45" s="3228"/>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6"/>
      <c r="Q46" s="2950">
        <f t="shared" si="11"/>
        <v>111</v>
      </c>
      <c r="R46" s="773" t="s">
        <v>17</v>
      </c>
      <c r="S46" s="774">
        <f t="shared" si="12"/>
        <v>100</v>
      </c>
      <c r="T46" s="773" t="s">
        <v>17</v>
      </c>
      <c r="U46" s="774">
        <f t="shared" si="13"/>
        <v>100</v>
      </c>
      <c r="V46" s="773" t="s">
        <v>17</v>
      </c>
      <c r="W46" s="774">
        <f t="shared" si="14"/>
        <v>100</v>
      </c>
      <c r="X46" s="2952"/>
      <c r="Y46" s="3228"/>
      <c r="Z46" s="2953">
        <f t="shared" si="15"/>
        <v>111</v>
      </c>
      <c r="AA46" s="2951">
        <f t="shared" si="3"/>
        <v>1</v>
      </c>
      <c r="AB46" s="295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7"/>
      <c r="Q47" s="2950">
        <f t="shared" si="11"/>
        <v>111</v>
      </c>
      <c r="R47" s="773" t="s">
        <v>17</v>
      </c>
      <c r="S47" s="774">
        <f t="shared" si="12"/>
        <v>100</v>
      </c>
      <c r="T47" s="773" t="s">
        <v>17</v>
      </c>
      <c r="U47" s="774">
        <f t="shared" si="13"/>
        <v>100</v>
      </c>
      <c r="V47" s="773" t="s">
        <v>17</v>
      </c>
      <c r="W47" s="774">
        <f t="shared" si="14"/>
        <v>100</v>
      </c>
      <c r="X47" s="2952"/>
      <c r="Y47" s="3229"/>
      <c r="Z47" s="2953">
        <f t="shared" si="15"/>
        <v>111</v>
      </c>
      <c r="AA47" s="2951">
        <f t="shared" si="3"/>
        <v>1</v>
      </c>
      <c r="AB47" s="2951">
        <f t="shared" si="4"/>
        <v>1</v>
      </c>
      <c r="AC47" s="2670">
        <f t="shared" si="5"/>
        <v>1</v>
      </c>
    </row>
    <row r="48" spans="1:29" ht="15">
      <c r="A48" s="479" t="s">
        <v>2567</v>
      </c>
      <c r="B48" s="480"/>
      <c r="C48" s="1405" t="s">
        <v>1</v>
      </c>
      <c r="D48" s="1406"/>
      <c r="E48" s="1407">
        <v>5</v>
      </c>
      <c r="F48" s="1408"/>
      <c r="G48" s="1409">
        <v>5.5</v>
      </c>
      <c r="H48" s="1410"/>
      <c r="I48" s="1407">
        <v>6</v>
      </c>
      <c r="J48" s="485"/>
      <c r="K48" s="782"/>
      <c r="L48" s="1142"/>
      <c r="M48" s="1130"/>
      <c r="N48" s="1130"/>
      <c r="O48" s="1130"/>
      <c r="P48" s="3232" t="str">
        <f>A48</f>
        <v>成交单价（元/平方米）</v>
      </c>
      <c r="Q48" s="3221"/>
      <c r="R48" s="3222">
        <f>E48</f>
        <v>5</v>
      </c>
      <c r="S48" s="3222"/>
      <c r="T48" s="3222">
        <f>G48</f>
        <v>5.5</v>
      </c>
      <c r="U48" s="3222"/>
      <c r="V48" s="3222">
        <f>I48</f>
        <v>6</v>
      </c>
      <c r="W48" s="3222"/>
      <c r="X48" s="446"/>
      <c r="Y48" s="780"/>
      <c r="Z48" s="446"/>
      <c r="AA48" s="446"/>
      <c r="AB48" s="446"/>
      <c r="AC48" s="630"/>
    </row>
    <row r="49" spans="1:29" ht="15.75" thickBot="1">
      <c r="A49" s="486" t="s">
        <v>2568</v>
      </c>
      <c r="B49" s="487"/>
      <c r="C49" s="1411">
        <f>R50</f>
        <v>5.4</v>
      </c>
      <c r="D49" s="1412"/>
      <c r="E49" s="1413">
        <f>R49</f>
        <v>4.9000000000000004</v>
      </c>
      <c r="F49" s="1413"/>
      <c r="G49" s="1411">
        <f>T49</f>
        <v>5.3</v>
      </c>
      <c r="H49" s="1412"/>
      <c r="I49" s="1413">
        <f>V49</f>
        <v>6.1</v>
      </c>
      <c r="J49" s="489"/>
      <c r="K49" s="783"/>
      <c r="L49" s="1142"/>
      <c r="M49" s="1130"/>
      <c r="N49" s="1130"/>
      <c r="O49" s="1130"/>
      <c r="P49" s="3232" t="str">
        <f>A49</f>
        <v>比较价值（元/平方米）</v>
      </c>
      <c r="Q49" s="3221"/>
      <c r="R49" s="3222">
        <f>IF(F1="售价",ROUND(PRODUCT(R48,AA7:AA47),0),ROUND(PRODUCT(R48,AA7:AA47),1))</f>
        <v>4.9000000000000004</v>
      </c>
      <c r="S49" s="3222"/>
      <c r="T49" s="3222">
        <f>IF(F1="售价",ROUND(PRODUCT(T48,AB7:AB47),0),ROUND(PRODUCT(T48,AB7:AB47),1))</f>
        <v>5.3</v>
      </c>
      <c r="U49" s="3222"/>
      <c r="V49" s="3222">
        <f>IF(F1="售价",ROUND(PRODUCT(V48,AC7:AC47),0),ROUND(PRODUCT(V48,AC7:AC47),1))</f>
        <v>6.1</v>
      </c>
      <c r="W49" s="3222"/>
      <c r="X49" s="446"/>
      <c r="Y49" s="446"/>
      <c r="Z49" s="446"/>
      <c r="AA49" s="446"/>
      <c r="AB49" s="446"/>
      <c r="AC49" s="630"/>
    </row>
    <row r="50" spans="1:29" ht="15.75" thickBot="1">
      <c r="A50" s="492" t="s">
        <v>2569</v>
      </c>
      <c r="B50" s="493"/>
      <c r="C50" s="1415">
        <f>R50</f>
        <v>5.4</v>
      </c>
      <c r="D50" s="1415"/>
      <c r="E50" s="1415"/>
      <c r="F50" s="1415"/>
      <c r="G50" s="1415"/>
      <c r="H50" s="1415"/>
      <c r="I50" s="1415"/>
      <c r="J50" s="494"/>
      <c r="K50" s="784"/>
      <c r="L50" s="1142"/>
      <c r="M50" s="1130"/>
      <c r="N50" s="1130"/>
      <c r="O50" s="1130"/>
      <c r="P50" s="3264" t="str">
        <f>A50</f>
        <v>估价对象XX用房的比较价值（楼面单价，元/平方米）</v>
      </c>
      <c r="Q50" s="3265"/>
      <c r="R50" s="3266">
        <f>IF(F1="售价",ROUND(AVERAGE(R49:V49),0),ROUND(AVERAGE(R49:V49),1))</f>
        <v>5.4</v>
      </c>
      <c r="S50" s="3266"/>
      <c r="T50" s="3266"/>
      <c r="U50" s="3266"/>
      <c r="V50" s="3266"/>
      <c r="W50" s="3266"/>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2.0408163265306145E-2</v>
      </c>
      <c r="F53" s="500" t="str">
        <f>IF(OR(E53&gt;=0.3,E53&lt;=-0.3),"超过30%","")</f>
        <v/>
      </c>
      <c r="G53" s="499">
        <f>IF(G48&lt;G49,G49/G48-1,G48/G49-1)</f>
        <v>3.7735849056603765E-2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8.1632653061224358E-2</v>
      </c>
      <c r="F54" s="500" t="str">
        <f>IF(OR(E54&gt;=0.2,E54&lt;=-0.2),"超过20%","")</f>
        <v/>
      </c>
      <c r="G54" s="499">
        <f>IF(G49&lt;I49,I49/G49-1,G49/I49-1)</f>
        <v>0.15094339622641506</v>
      </c>
      <c r="H54" s="500" t="str">
        <f>IF(OR(G54&gt;=0.2,G54&lt;=-0.2),"超过20%","")</f>
        <v/>
      </c>
      <c r="I54" s="499">
        <f>IF(I49&lt;E49,E49/I49-1,I49/E49-1)</f>
        <v>0.2448979591836733</v>
      </c>
      <c r="J54" s="500" t="str">
        <f>IF(OR(I54&gt;=0.2,I54&lt;=-0.2),"超过20%","")</f>
        <v>超过20%</v>
      </c>
      <c r="K54" s="1104"/>
      <c r="L54" s="1105"/>
      <c r="M54" s="1143"/>
      <c r="N54" s="1143"/>
      <c r="O54" s="1143"/>
    </row>
    <row r="55" spans="1:29" s="502" customFormat="1" ht="13.5" customHeight="1">
      <c r="A55" s="1144"/>
      <c r="B55" s="1144"/>
      <c r="C55" s="497" t="s">
        <v>2572</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2573</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2577</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3108</v>
      </c>
      <c r="D87" s="2967" t="s">
        <v>3110</v>
      </c>
      <c r="E87" s="2967" t="s">
        <v>3111</v>
      </c>
      <c r="F87" s="2967" t="s">
        <v>3113</v>
      </c>
      <c r="G87" s="2967" t="s">
        <v>3114</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3116</v>
      </c>
      <c r="D89" s="2967" t="s">
        <v>3118</v>
      </c>
      <c r="E89" s="2967" t="s">
        <v>3119</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3121</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800(含)-1000</v>
      </c>
      <c r="H103" s="578" t="str">
        <f t="shared" si="23"/>
        <v>1000(含)-1500</v>
      </c>
      <c r="I103" s="578" t="str">
        <f t="shared" si="23"/>
        <v>1500(含)-2000</v>
      </c>
      <c r="J103" s="578" t="str">
        <f t="shared" si="23"/>
        <v>2000(含)-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1000</v>
      </c>
      <c r="I104" s="595">
        <v>1500</v>
      </c>
      <c r="J104" s="596">
        <v>2000</v>
      </c>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2"/>
      <c r="O105" s="1152"/>
      <c r="P105" s="2681"/>
      <c r="Q105" s="559"/>
    </row>
    <row r="106" spans="1:17" ht="15" thickTop="1">
      <c r="A106" s="599"/>
      <c r="B106" s="538" t="s">
        <v>2604</v>
      </c>
      <c r="C106" s="2967" t="s">
        <v>3122</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3123</v>
      </c>
      <c r="D108" s="2967" t="s">
        <v>3125</v>
      </c>
      <c r="E108" s="2967" t="s">
        <v>3127</v>
      </c>
      <c r="F108" s="2969" t="s">
        <v>3128</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3130</v>
      </c>
      <c r="D113" s="2967" t="s">
        <v>3131</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3133</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3135</v>
      </c>
      <c r="D117" s="2967" t="s">
        <v>3137</v>
      </c>
      <c r="E117" s="2967" t="s">
        <v>3138</v>
      </c>
      <c r="F117" s="2967" t="s">
        <v>3139</v>
      </c>
      <c r="G117" s="2967" t="s">
        <v>3140</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3142</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3123</v>
      </c>
      <c r="D123" s="2967" t="s">
        <v>3125</v>
      </c>
      <c r="E123" s="2967" t="s">
        <v>3127</v>
      </c>
      <c r="F123" s="2969" t="s">
        <v>3128</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I4" sqref="I4"/>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29" t="s">
        <v>2994</v>
      </c>
      <c r="D1" s="3330"/>
      <c r="E1" s="3330"/>
      <c r="F1" s="3330"/>
      <c r="G1" s="3330"/>
      <c r="H1" s="3330"/>
      <c r="I1" s="3330"/>
      <c r="J1" s="3330"/>
      <c r="K1" s="3330"/>
      <c r="L1" s="3330"/>
      <c r="M1" s="3330"/>
      <c r="N1" s="3330"/>
      <c r="O1" s="3330"/>
      <c r="P1" s="3330"/>
      <c r="Q1" s="3330"/>
      <c r="R1" s="3330"/>
      <c r="S1" s="3331"/>
      <c r="T1" s="1203" t="s">
        <v>2995</v>
      </c>
    </row>
    <row r="2" spans="1:45" s="707" customFormat="1" ht="38.25">
      <c r="A2" s="1204"/>
      <c r="B2" s="703" t="s">
        <v>2996</v>
      </c>
      <c r="C2" s="704" t="str">
        <f t="shared" ref="C2:L2" si="0">C3&amp;"(含)"&amp;"-"&amp;D3</f>
        <v>0(含)-150</v>
      </c>
      <c r="D2" s="705" t="str">
        <f t="shared" si="0"/>
        <v>150(含)-300</v>
      </c>
      <c r="E2" s="705" t="str">
        <f t="shared" si="0"/>
        <v>300(含)-500</v>
      </c>
      <c r="F2" s="705" t="str">
        <f t="shared" si="0"/>
        <v>500(含)-800</v>
      </c>
      <c r="G2" s="705" t="str">
        <f t="shared" si="0"/>
        <v>800(含)-1500</v>
      </c>
      <c r="H2" s="705" t="str">
        <f t="shared" si="0"/>
        <v>1500(含)-2000</v>
      </c>
      <c r="I2" s="705" t="str">
        <f t="shared" si="0"/>
        <v>2000(含)-0</v>
      </c>
      <c r="J2" s="705" t="str">
        <f t="shared" si="0"/>
        <v>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150</v>
      </c>
      <c r="E3" s="709">
        <f>'比较法-办公'!E104</f>
        <v>300</v>
      </c>
      <c r="F3" s="709">
        <f>'比较法-办公'!F104</f>
        <v>500</v>
      </c>
      <c r="G3" s="709">
        <f>'比较法-办公'!G104</f>
        <v>800</v>
      </c>
      <c r="H3" s="709">
        <f>'比较法-办公'!H104</f>
        <v>1500</v>
      </c>
      <c r="I3" s="709">
        <f>'比较法-办公'!I104</f>
        <v>2000</v>
      </c>
      <c r="J3" s="709">
        <f>'比较法-办公'!J104</f>
        <v>0</v>
      </c>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f>'比较法-办公'!J105</f>
        <v>0</v>
      </c>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71" t="s">
        <v>3144</v>
      </c>
      <c r="D17" s="2972" t="s">
        <v>3145</v>
      </c>
      <c r="E17" s="2972" t="s">
        <v>3146</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5" thickBot="1">
      <c r="A20" s="714" t="s">
        <v>3006</v>
      </c>
      <c r="B20" s="338">
        <f ca="1">IF(D20="——",S22,S22-F20)</f>
        <v>1793</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75">
      <c r="A21" s="714" t="s">
        <v>3008</v>
      </c>
      <c r="B21" s="338">
        <f ca="1">R22</f>
        <v>41198</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435.22</v>
      </c>
      <c r="C22" s="3183" t="s">
        <v>33</v>
      </c>
      <c r="D22" s="3184"/>
      <c r="E22" s="3184"/>
      <c r="F22" s="3184"/>
      <c r="G22" s="3184"/>
      <c r="H22" s="3184"/>
      <c r="I22" s="3184"/>
      <c r="J22" s="3184"/>
      <c r="K22" s="3184"/>
      <c r="L22" s="3184"/>
      <c r="M22" s="3184"/>
      <c r="N22" s="3184"/>
      <c r="O22" s="3184"/>
      <c r="P22" s="3184"/>
      <c r="Q22" s="3328"/>
      <c r="R22" s="715">
        <f ca="1">ROUND(S22*10000/B22,0)</f>
        <v>41198</v>
      </c>
      <c r="S22" s="24">
        <f ca="1">SUM(S24:S10000)</f>
        <v>1793</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610</v>
      </c>
      <c r="B24" s="717">
        <f>面积!F7</f>
        <v>78.53</v>
      </c>
      <c r="C24" s="718">
        <v>1</v>
      </c>
      <c r="D24" s="719"/>
      <c r="E24" s="718">
        <v>1</v>
      </c>
      <c r="F24" s="719"/>
      <c r="G24" s="718">
        <v>1</v>
      </c>
      <c r="H24" s="719"/>
      <c r="I24" s="718">
        <v>1</v>
      </c>
      <c r="J24" s="719"/>
      <c r="K24" s="718">
        <v>1</v>
      </c>
      <c r="L24" s="719"/>
      <c r="M24" s="718">
        <v>1</v>
      </c>
      <c r="N24" s="719"/>
      <c r="O24" s="718">
        <v>1</v>
      </c>
      <c r="P24" s="719" t="s">
        <v>3085</v>
      </c>
      <c r="Q24" s="718">
        <v>1</v>
      </c>
      <c r="R24" s="720">
        <f ca="1">'结果表 (2)'!G20</f>
        <v>40901</v>
      </c>
      <c r="S24" s="718">
        <f t="shared" ref="S24:S54" ca="1" si="11">ROUND(R24*B24/10000,0)</f>
        <v>321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611</v>
      </c>
      <c r="B25" s="2980">
        <f>面积!F8</f>
        <v>119.78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3085</v>
      </c>
      <c r="Q25" s="24">
        <f>(SUMIF($17:$17,P25,$18:$18)-SUMIF($17:$17,$P$24,$18:$18)+100)/100</f>
        <v>1</v>
      </c>
      <c r="R25" s="715">
        <f ca="1">IF(B25="",0,ROUND($R$24*C25*E25*G25*I25*K25*M25*O25*Q25,0))</f>
        <v>40901</v>
      </c>
      <c r="S25" s="361">
        <f t="shared" ca="1" si="11"/>
        <v>490</v>
      </c>
    </row>
    <row r="26" spans="1:45">
      <c r="A26" s="59">
        <v>612</v>
      </c>
      <c r="B26" s="2980">
        <f>面积!F9</f>
        <v>78.53</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3085</v>
      </c>
      <c r="Q26" s="24">
        <f t="shared" ref="Q26:Q89" si="19">(SUMIF($17:$17,P26,$18:$18)-SUMIF($17:$17,$P$24,$18:$18)+100)/100</f>
        <v>1</v>
      </c>
      <c r="R26" s="715">
        <f t="shared" ref="R26:R89" ca="1" si="20">IF(B26="",0,ROUND($R$24*C26*E26*G26*I26*K26*M26*O26*Q26,0))</f>
        <v>40901</v>
      </c>
      <c r="S26" s="361">
        <f t="shared" ca="1" si="11"/>
        <v>321</v>
      </c>
    </row>
    <row r="27" spans="1:45">
      <c r="A27" s="59">
        <v>613</v>
      </c>
      <c r="B27" s="2980">
        <f>面积!F10</f>
        <v>158.38</v>
      </c>
      <c r="C27" s="24">
        <f t="shared" si="12"/>
        <v>1.02</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3085</v>
      </c>
      <c r="Q27" s="24">
        <f t="shared" si="19"/>
        <v>1</v>
      </c>
      <c r="R27" s="715">
        <f t="shared" ca="1" si="20"/>
        <v>41719</v>
      </c>
      <c r="S27" s="361">
        <f t="shared" ca="1" si="11"/>
        <v>661</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28448</v>
      </c>
      <c r="C2" s="2" t="s">
        <v>133</v>
      </c>
      <c r="D2" s="243"/>
      <c r="E2" s="243"/>
      <c r="F2" s="243"/>
      <c r="G2" s="243"/>
    </row>
    <row r="3" spans="1:7" s="244" customFormat="1" ht="18" customHeight="1" thickBot="1">
      <c r="A3" s="247" t="s">
        <v>85</v>
      </c>
      <c r="B3" s="248">
        <f ca="1">ROUND(B2*10000/'数据-汇总表'!E3,0)</f>
        <v>653646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435.22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435.22</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3155</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3155</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24</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435.22</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2</v>
      </c>
      <c r="D42" s="282"/>
      <c r="E42" s="282"/>
      <c r="F42" s="283"/>
      <c r="G42" s="3188" t="s">
        <v>121</v>
      </c>
    </row>
    <row r="43" spans="1:7" ht="13.5" customHeight="1">
      <c r="A43" s="950" t="s">
        <v>792</v>
      </c>
      <c r="B43" s="259" t="s">
        <v>1061</v>
      </c>
      <c r="C43" s="282">
        <f ca="1">ROUND(IF('数据-取费表'!B22&lt;=1,C39*F22*'数据-取费表'!B21/2,C39*(POWER((1+F22),'数据-取费表'!B21/2)-1)),0)</f>
        <v>0</v>
      </c>
      <c r="D43" s="282"/>
      <c r="E43" s="282"/>
      <c r="F43" s="283"/>
      <c r="G43" s="3189"/>
    </row>
    <row r="44" spans="1:7" ht="13.5" customHeight="1">
      <c r="A44" s="950" t="s">
        <v>793</v>
      </c>
      <c r="B44" s="259" t="s">
        <v>1063</v>
      </c>
      <c r="C44" s="282">
        <f ca="1">ROUND(IF('数据-取费表'!B22&lt;=1,C40*F22*'数据-取费表'!B21/2,C40*(POWER((1+F22),'数据-取费表'!B21/2)-1)),4)</f>
        <v>1E-3</v>
      </c>
      <c r="D44" s="282"/>
      <c r="E44" s="282"/>
      <c r="F44" s="283"/>
      <c r="G44" s="3190"/>
    </row>
    <row r="45" spans="1:7" s="258" customFormat="1" ht="13.5" customHeight="1">
      <c r="A45" s="947" t="s">
        <v>786</v>
      </c>
      <c r="B45" s="288" t="s">
        <v>112</v>
      </c>
      <c r="C45" s="289">
        <f>C46</f>
        <v>5</v>
      </c>
      <c r="D45" s="279">
        <f>C47</f>
        <v>3.0000000000000001E-3</v>
      </c>
      <c r="E45" s="280" t="s">
        <v>129</v>
      </c>
      <c r="F45" s="290"/>
      <c r="G45" s="291" t="s">
        <v>1069</v>
      </c>
    </row>
    <row r="46" spans="1:7" s="258" customFormat="1" ht="13.5" customHeight="1">
      <c r="A46" s="950" t="s">
        <v>794</v>
      </c>
      <c r="B46" s="292" t="s">
        <v>1062</v>
      </c>
      <c r="C46" s="293">
        <f>ROUND((C33+C39)*F27,0)</f>
        <v>5</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46</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40</v>
      </c>
      <c r="D51" s="276"/>
      <c r="E51" s="276"/>
      <c r="F51" s="308"/>
      <c r="G51" s="278" t="s">
        <v>64</v>
      </c>
    </row>
    <row r="52" spans="1:7" s="252" customFormat="1" ht="16.5" thickBot="1">
      <c r="A52" s="309" t="s">
        <v>65</v>
      </c>
      <c r="B52" s="310"/>
      <c r="C52" s="311">
        <f ca="1">C31+C51</f>
        <v>28448</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2" t="s">
        <v>156</v>
      </c>
      <c r="B1" s="3332"/>
      <c r="C1" s="3332"/>
      <c r="D1" s="3332"/>
      <c r="E1" s="3332"/>
      <c r="F1" s="333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3" t="s">
        <v>169</v>
      </c>
      <c r="B2" s="3333"/>
      <c r="C2" s="3333"/>
      <c r="D2" s="3333"/>
      <c r="E2" s="3333"/>
      <c r="F2" s="333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2" t="s">
        <v>868</v>
      </c>
      <c r="B1" s="333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1"/>
  <sheetViews>
    <sheetView workbookViewId="0">
      <selection activeCell="C7" sqref="C7"/>
    </sheetView>
  </sheetViews>
  <sheetFormatPr defaultRowHeight="12.75"/>
  <cols>
    <col min="1" max="1" width="9" style="2963"/>
    <col min="2" max="2" width="4.875" style="2963" customWidth="1"/>
    <col min="3" max="3" width="31.25" style="2963" customWidth="1"/>
    <col min="4" max="4" width="30.375" style="2963" customWidth="1"/>
    <col min="5" max="7" width="9" style="2963"/>
    <col min="8" max="13" width="9" style="2963" customWidth="1"/>
    <col min="14" max="16384" width="9" style="2963"/>
  </cols>
  <sheetData>
    <row r="5" spans="2:13">
      <c r="B5" s="2978" t="s">
        <v>3162</v>
      </c>
      <c r="C5" s="2978" t="s">
        <v>3163</v>
      </c>
    </row>
    <row r="6" spans="2:13">
      <c r="B6" s="2965" t="s">
        <v>3075</v>
      </c>
      <c r="C6" s="2964" t="s">
        <v>3158</v>
      </c>
      <c r="D6" s="2965" t="s">
        <v>3076</v>
      </c>
      <c r="E6" s="2964" t="s">
        <v>3081</v>
      </c>
      <c r="F6" s="2965" t="s">
        <v>3077</v>
      </c>
      <c r="G6" s="2964" t="s">
        <v>3081</v>
      </c>
      <c r="H6" s="2965" t="s">
        <v>3078</v>
      </c>
      <c r="I6" s="2964" t="s">
        <v>3082</v>
      </c>
      <c r="J6" s="2964" t="s">
        <v>3083</v>
      </c>
      <c r="K6" s="2964" t="s">
        <v>3084</v>
      </c>
      <c r="L6" s="2964" t="s">
        <v>3153</v>
      </c>
      <c r="M6" s="2964" t="s">
        <v>3154</v>
      </c>
    </row>
    <row r="7" spans="2:13">
      <c r="B7" s="2965">
        <v>1</v>
      </c>
      <c r="C7" s="2965" t="s">
        <v>3167</v>
      </c>
      <c r="D7" s="2965" t="s">
        <v>3079</v>
      </c>
      <c r="E7" s="2965" t="s">
        <v>3080</v>
      </c>
      <c r="F7" s="2965">
        <v>78.53</v>
      </c>
      <c r="G7" s="2965" t="s">
        <v>3080</v>
      </c>
      <c r="H7" s="2965" t="s">
        <v>3080</v>
      </c>
      <c r="I7" s="2965">
        <v>21</v>
      </c>
      <c r="J7" s="2965">
        <v>5</v>
      </c>
      <c r="K7" s="2965" t="s">
        <v>3155</v>
      </c>
      <c r="L7" s="2965">
        <f ca="1">典型户型修正!R24</f>
        <v>40901</v>
      </c>
      <c r="M7" s="2965">
        <f ca="1">典型户型修正!S24</f>
        <v>321</v>
      </c>
    </row>
    <row r="8" spans="2:13" ht="13.5">
      <c r="B8" s="2965">
        <v>2</v>
      </c>
      <c r="C8" s="2965" t="s">
        <v>3159</v>
      </c>
      <c r="D8" s="2965" t="s">
        <v>3071</v>
      </c>
      <c r="E8" s="2965" t="s">
        <v>3080</v>
      </c>
      <c r="F8" s="2965">
        <v>119.78</v>
      </c>
      <c r="G8" s="2965" t="s">
        <v>3080</v>
      </c>
      <c r="H8" s="2965" t="s">
        <v>3080</v>
      </c>
      <c r="I8" s="2965">
        <v>21</v>
      </c>
      <c r="J8" s="2965">
        <v>5</v>
      </c>
      <c r="K8" s="2965" t="s">
        <v>3155</v>
      </c>
      <c r="L8" s="2965">
        <f ca="1">典型户型修正!R25</f>
        <v>40901</v>
      </c>
      <c r="M8" s="2965">
        <f ca="1">典型户型修正!S25</f>
        <v>490</v>
      </c>
    </row>
    <row r="9" spans="2:13" ht="13.5">
      <c r="B9" s="2965">
        <v>3</v>
      </c>
      <c r="C9" s="2965" t="s">
        <v>3160</v>
      </c>
      <c r="D9" s="2965" t="s">
        <v>3072</v>
      </c>
      <c r="E9" s="2965" t="s">
        <v>3080</v>
      </c>
      <c r="F9" s="2965">
        <v>78.53</v>
      </c>
      <c r="G9" s="2965" t="s">
        <v>3080</v>
      </c>
      <c r="H9" s="2965" t="s">
        <v>3080</v>
      </c>
      <c r="I9" s="2965">
        <v>21</v>
      </c>
      <c r="J9" s="2965">
        <v>5</v>
      </c>
      <c r="K9" s="2965" t="s">
        <v>3155</v>
      </c>
      <c r="L9" s="2965">
        <f ca="1">典型户型修正!R26</f>
        <v>40901</v>
      </c>
      <c r="M9" s="2965">
        <f ca="1">典型户型修正!S26</f>
        <v>321</v>
      </c>
    </row>
    <row r="10" spans="2:13" ht="13.5">
      <c r="B10" s="2965">
        <v>4</v>
      </c>
      <c r="C10" s="2965" t="s">
        <v>3161</v>
      </c>
      <c r="D10" s="2965" t="s">
        <v>3073</v>
      </c>
      <c r="E10" s="2965" t="s">
        <v>3080</v>
      </c>
      <c r="F10" s="2965">
        <v>158.38</v>
      </c>
      <c r="G10" s="2965" t="s">
        <v>3080</v>
      </c>
      <c r="H10" s="2965" t="s">
        <v>3080</v>
      </c>
      <c r="I10" s="2965">
        <v>21</v>
      </c>
      <c r="J10" s="2965">
        <v>5</v>
      </c>
      <c r="K10" s="2965" t="s">
        <v>3155</v>
      </c>
      <c r="L10" s="2965">
        <f ca="1">典型户型修正!R27</f>
        <v>41719</v>
      </c>
      <c r="M10" s="2965">
        <f ca="1">典型户型修正!S27</f>
        <v>661</v>
      </c>
    </row>
    <row r="11" spans="2:13">
      <c r="B11" s="3336" t="s">
        <v>3156</v>
      </c>
      <c r="C11" s="3337"/>
      <c r="D11" s="3337"/>
      <c r="E11" s="2977" t="s">
        <v>3074</v>
      </c>
      <c r="F11" s="2977">
        <f>SUM(F7:F10)</f>
        <v>435.22</v>
      </c>
      <c r="G11" s="2977" t="s">
        <v>3074</v>
      </c>
      <c r="H11" s="2977" t="s">
        <v>3074</v>
      </c>
      <c r="I11" s="2977" t="s">
        <v>3074</v>
      </c>
      <c r="J11" s="2977" t="s">
        <v>3074</v>
      </c>
      <c r="K11" s="2977" t="s">
        <v>3074</v>
      </c>
      <c r="L11" s="2977">
        <f ca="1">ROUND(M11/F11*10000,0)</f>
        <v>41198</v>
      </c>
      <c r="M11" s="2977">
        <f ca="1">SUM(M7:M10)</f>
        <v>1793</v>
      </c>
    </row>
  </sheetData>
  <mergeCells count="1">
    <mergeCell ref="B11:D11"/>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5" workbookViewId="0">
      <selection activeCell="N94" sqref="N94"/>
    </sheetView>
  </sheetViews>
  <sheetFormatPr defaultRowHeight="13.5"/>
  <cols>
    <col min="1" max="16384" width="9" style="2979"/>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1636</v>
      </c>
      <c r="B2" s="3023" t="s">
        <v>1637</v>
      </c>
      <c r="C2" s="3023" t="s">
        <v>1638</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43" t="s">
        <v>1633</v>
      </c>
      <c r="E3" s="1043" t="s">
        <v>1639</v>
      </c>
      <c r="F3" s="1043" t="s">
        <v>1633</v>
      </c>
      <c r="G3" s="1043" t="s">
        <v>1634</v>
      </c>
      <c r="H3" s="1043" t="s">
        <v>1633</v>
      </c>
      <c r="I3" s="1043" t="s">
        <v>1634</v>
      </c>
    </row>
    <row r="4" spans="1:9" ht="45">
      <c r="A4" s="1970" t="str">
        <f>项目基本情况!S2</f>
        <v>北京市丰台区南四环西路128号院2号楼5层610等4套办公用房房地产</v>
      </c>
      <c r="B4" s="1043">
        <f>项目基本情况!C17</f>
        <v>435.22</v>
      </c>
      <c r="C4" s="1043">
        <f>项目基本情况!C18</f>
        <v>0</v>
      </c>
      <c r="D4" s="1043" t="e">
        <f ca="1">结果表!D118</f>
        <v>#REF!</v>
      </c>
      <c r="E4" s="1043" t="e">
        <f ca="1">结果表!E118</f>
        <v>#REF!</v>
      </c>
      <c r="F4" s="1043" t="e">
        <f ca="1">结果表!F118</f>
        <v>#REF!</v>
      </c>
      <c r="G4" s="1043" t="e">
        <f ca="1">结果表!G118</f>
        <v>#REF!</v>
      </c>
      <c r="H4" s="1043">
        <f ca="1">结果表!H118</f>
        <v>1793</v>
      </c>
      <c r="I4" s="1043">
        <f ca="1">结果表!I118</f>
        <v>41198</v>
      </c>
    </row>
    <row r="5" spans="1:9" ht="30" customHeight="1">
      <c r="A5" s="3017" t="s">
        <v>1635</v>
      </c>
      <c r="B5" s="3017"/>
      <c r="C5" s="3017"/>
      <c r="D5" s="3018" t="e">
        <f ca="1">结果表!D119</f>
        <v>#REF!</v>
      </c>
      <c r="E5" s="3018"/>
      <c r="F5" s="3018" t="e">
        <f ca="1">结果表!F119</f>
        <v>#REF!</v>
      </c>
      <c r="G5" s="3018"/>
      <c r="H5" s="3018" t="str">
        <f ca="1">结果表!H119</f>
        <v>壹仟柒佰玖拾叁万元整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1635</v>
      </c>
      <c r="B7" s="3017"/>
      <c r="C7" s="3017"/>
      <c r="D7" s="3019" t="str">
        <f>结果表!D121</f>
        <v>零元整</v>
      </c>
      <c r="E7" s="3020"/>
      <c r="F7" s="3020"/>
      <c r="G7" s="3020"/>
      <c r="H7" s="3020"/>
      <c r="I7" s="3021"/>
    </row>
    <row r="8" spans="1:9" ht="15.75">
      <c r="A8" s="3016" t="str">
        <f>结果表!A122</f>
        <v>房地产抵押价值</v>
      </c>
      <c r="B8" s="3016"/>
      <c r="C8" s="3016"/>
      <c r="D8" s="3016">
        <f ca="1">结果表!D122</f>
        <v>1793</v>
      </c>
      <c r="E8" s="3016"/>
      <c r="F8" s="3016"/>
      <c r="G8" s="3016"/>
      <c r="H8" s="3016"/>
      <c r="I8" s="3016"/>
    </row>
    <row r="9" spans="1:9" ht="15">
      <c r="A9" s="3017" t="s">
        <v>1635</v>
      </c>
      <c r="B9" s="3017"/>
      <c r="C9" s="3017"/>
      <c r="D9" s="3018" t="str">
        <f ca="1">结果表!D123</f>
        <v>壹仟柒佰玖拾叁万元整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1635</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1635</v>
      </c>
      <c r="B13" s="3013"/>
      <c r="C13" s="3013"/>
      <c r="D13" s="3014" t="e">
        <f>结果表!D127</f>
        <v>#VALUE!</v>
      </c>
      <c r="E13" s="3014"/>
      <c r="F13" s="3014"/>
      <c r="G13" s="3014"/>
      <c r="H13" s="3014"/>
      <c r="I13" s="3014"/>
    </row>
    <row r="14" spans="1:9" ht="15" thickTop="1">
      <c r="A14" s="3015" t="s">
        <v>1640</v>
      </c>
      <c r="B14" s="3015"/>
      <c r="C14" s="3015"/>
      <c r="D14" s="3015"/>
      <c r="E14" s="3015"/>
      <c r="F14" s="3015"/>
      <c r="G14" s="3015"/>
      <c r="H14" s="3015"/>
      <c r="I14" s="3015"/>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0" t="s">
        <v>1657</v>
      </c>
      <c r="B1" s="3030"/>
      <c r="C1" s="3030"/>
      <c r="D1" s="3030"/>
    </row>
    <row r="2" spans="1:4" ht="18">
      <c r="A2" s="3031" t="s">
        <v>1641</v>
      </c>
      <c r="B2" s="3031"/>
      <c r="C2" s="3031"/>
      <c r="D2" s="3031"/>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31" t="s">
        <v>1647</v>
      </c>
      <c r="B6" s="3031"/>
      <c r="C6" s="3031"/>
      <c r="D6" s="3031"/>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2" t="s">
        <v>1650</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（1）根据估价对象《不动产权证书》复印件、，截至价值时点，估价对象抵押权未见登记。</v>
      </c>
      <c r="B15" s="3024"/>
      <c r="C15" s="3024"/>
      <c r="D15" s="3024"/>
    </row>
    <row r="16" spans="1:4" ht="30" customHeight="1">
      <c r="A16" s="3026" t="s">
        <v>1651</v>
      </c>
      <c r="B16" s="3026"/>
      <c r="C16" s="3026"/>
      <c r="D16" s="3026"/>
    </row>
    <row r="17" spans="1:4" ht="144" customHeight="1">
      <c r="A17" s="3026" t="s">
        <v>1652</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1653</v>
      </c>
      <c r="B22" s="3028"/>
      <c r="C22" s="3028"/>
      <c r="D22" s="3028"/>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38" t="s">
        <v>1664</v>
      </c>
      <c r="B15" s="3033" t="s">
        <v>136</v>
      </c>
      <c r="C15" s="3034"/>
    </row>
    <row r="16" spans="1:7" ht="13.5">
      <c r="A16" s="3039"/>
      <c r="B16" s="3033" t="s">
        <v>69</v>
      </c>
      <c r="C16" s="3034"/>
    </row>
    <row r="17" spans="1:3" ht="13.5">
      <c r="A17" s="3039"/>
      <c r="B17" s="3036" t="s">
        <v>1665</v>
      </c>
      <c r="C17" s="1997" t="s">
        <v>1664</v>
      </c>
    </row>
    <row r="18" spans="1:3" ht="13.5">
      <c r="A18" s="3039"/>
      <c r="B18" s="3036"/>
      <c r="C18" s="1997" t="s">
        <v>1666</v>
      </c>
    </row>
    <row r="19" spans="1:3" ht="13.5">
      <c r="A19" s="3039"/>
      <c r="B19" s="3036"/>
      <c r="C19" s="1997" t="s">
        <v>1667</v>
      </c>
    </row>
    <row r="20" spans="1:3" ht="13.5">
      <c r="A20" s="3040"/>
      <c r="B20" s="3035" t="s">
        <v>1668</v>
      </c>
      <c r="C20" s="3034"/>
    </row>
    <row r="21" spans="1:3" ht="13.5">
      <c r="A21" s="1998" t="s">
        <v>1669</v>
      </c>
      <c r="B21" s="1999"/>
      <c r="C21" s="2000"/>
    </row>
    <row r="22" spans="1:3" ht="13.5">
      <c r="A22" s="3037" t="s">
        <v>1670</v>
      </c>
      <c r="B22" s="3035" t="s">
        <v>1671</v>
      </c>
      <c r="C22" s="3034"/>
    </row>
    <row r="23" spans="1:3" ht="13.5">
      <c r="A23" s="3037"/>
      <c r="B23" s="3035" t="s">
        <v>1672</v>
      </c>
      <c r="C23" s="3034"/>
    </row>
    <row r="24" spans="1:3" ht="13.5">
      <c r="A24" s="3037"/>
      <c r="B24" s="3035" t="s">
        <v>1673</v>
      </c>
      <c r="C24" s="3034"/>
    </row>
    <row r="25" spans="1:3" ht="13.5">
      <c r="A25" s="3037"/>
      <c r="B25" s="3036" t="s">
        <v>1674</v>
      </c>
      <c r="C25" s="1997" t="s">
        <v>1675</v>
      </c>
    </row>
    <row r="26" spans="1:3" ht="13.5">
      <c r="A26" s="3037"/>
      <c r="B26" s="3036"/>
      <c r="C26" s="1997" t="s">
        <v>1676</v>
      </c>
    </row>
    <row r="27" spans="1:3" ht="13.5">
      <c r="A27" s="3037"/>
      <c r="B27" s="3036"/>
      <c r="C27" s="1997" t="s">
        <v>1677</v>
      </c>
    </row>
    <row r="28" spans="1:3" ht="13.5">
      <c r="A28" s="3037"/>
      <c r="B28" s="3036"/>
      <c r="C28" s="1997" t="s">
        <v>1678</v>
      </c>
    </row>
    <row r="29" spans="1:3" ht="13.5">
      <c r="A29" s="3037"/>
      <c r="B29" s="3036"/>
      <c r="C29" s="1997" t="s">
        <v>1679</v>
      </c>
    </row>
    <row r="30" spans="1:3" ht="13.5">
      <c r="A30" s="3037"/>
      <c r="B30" s="3036"/>
      <c r="C30" s="1997" t="s">
        <v>1680</v>
      </c>
    </row>
    <row r="31" spans="1:3" ht="13.5">
      <c r="A31" s="3037"/>
      <c r="B31" s="3036"/>
      <c r="C31" s="1997" t="s">
        <v>1681</v>
      </c>
    </row>
    <row r="32" spans="1:3" ht="13.5">
      <c r="A32" s="3037"/>
      <c r="B32" s="3036"/>
      <c r="C32" s="1997" t="s">
        <v>1682</v>
      </c>
    </row>
    <row r="33" spans="1:3" ht="13.5">
      <c r="A33" s="3037"/>
      <c r="B33" s="3036"/>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43726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1" t="s">
        <v>843</v>
      </c>
      <c r="B25" s="3041"/>
      <c r="C25" s="3041"/>
      <c r="D25" s="3041"/>
      <c r="E25" s="3041"/>
      <c r="F25" s="3041"/>
      <c r="G25" s="3041"/>
    </row>
    <row r="26" spans="1:7" s="1024" customFormat="1" ht="24" customHeight="1">
      <c r="A26" s="3042" t="s">
        <v>844</v>
      </c>
      <c r="B26" s="3042"/>
      <c r="C26" s="3043"/>
      <c r="D26" s="3044" t="s">
        <v>845</v>
      </c>
      <c r="E26" s="3042"/>
      <c r="F26" s="3042"/>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2019-09-18T03:18:55Z</dcterms:modified>
</cp:coreProperties>
</file>