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81"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 sheetId="77" r:id="rId47"/>
    <sheet name="案例" sheetId="78" state="hidden" r:id="rId48"/>
    <sheet name="案例 (2)" sheetId="80"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3" i="31" l="1"/>
  <c r="F20" i="6"/>
  <c r="A124" i="81"/>
  <c r="A120" i="81"/>
  <c r="A118" i="81"/>
  <c r="E111" i="81"/>
  <c r="A126" i="81"/>
  <c r="H109" i="81"/>
  <c r="D124" i="81"/>
  <c r="D125" i="81"/>
  <c r="E109"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D17" i="81"/>
  <c r="C17" i="81"/>
  <c r="C18" i="81"/>
  <c r="D18" i="81"/>
  <c r="L4" i="81"/>
  <c r="K4" i="81"/>
  <c r="A2" i="81"/>
  <c r="H1" i="81"/>
  <c r="D34" i="81"/>
  <c r="D35" i="81"/>
  <c r="C92" i="81"/>
  <c r="C94" i="81"/>
  <c r="K120" i="81"/>
  <c r="D121" i="81"/>
  <c r="H112" i="81"/>
  <c r="H110" i="81"/>
  <c r="H111" i="81"/>
  <c r="D126" i="81"/>
  <c r="D127" i="81"/>
  <c r="I15" i="3"/>
  <c r="I16" i="3"/>
  <c r="I14" i="3"/>
  <c r="F11" i="77"/>
  <c r="B27" i="31"/>
  <c r="B24" i="31"/>
  <c r="B26" i="31"/>
  <c r="B25" i="31"/>
  <c r="F19" i="6"/>
  <c r="BB13" i="3"/>
  <c r="H13" i="3"/>
  <c r="N38" i="79"/>
  <c r="B22" i="1"/>
  <c r="E1" i="73"/>
  <c r="F23" i="15"/>
  <c r="D112" i="34"/>
  <c r="E112" i="34"/>
  <c r="F112" i="34"/>
  <c r="D4" i="31"/>
  <c r="E4" i="31"/>
  <c r="F4" i="31"/>
  <c r="G4" i="31"/>
  <c r="H4" i="31"/>
  <c r="I4" i="31"/>
  <c r="C4" i="31"/>
  <c r="C3" i="31"/>
  <c r="B131" i="79"/>
  <c r="B129" i="79"/>
  <c r="B127" i="79"/>
  <c r="D126" i="79"/>
  <c r="E126" i="79"/>
  <c r="F126" i="79"/>
  <c r="G126" i="79"/>
  <c r="D124" i="79"/>
  <c r="E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J27" i="79"/>
  <c r="AC27"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V48"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J28" i="79"/>
  <c r="AC28" i="79"/>
  <c r="J29" i="79"/>
  <c r="AC29" i="79"/>
  <c r="J30" i="79"/>
  <c r="AC30" i="79"/>
  <c r="J31" i="79"/>
  <c r="AC31" i="79"/>
  <c r="J32" i="79"/>
  <c r="AC32" i="79"/>
  <c r="J33" i="79"/>
  <c r="AC33" i="79"/>
  <c r="J35" i="79"/>
  <c r="AC35" i="79"/>
  <c r="J36" i="79"/>
  <c r="AC36" i="79"/>
  <c r="J38" i="79"/>
  <c r="J39" i="79"/>
  <c r="AC39" i="79"/>
  <c r="J40" i="79"/>
  <c r="AC40" i="79"/>
  <c r="J41" i="79"/>
  <c r="AC41" i="79"/>
  <c r="J42" i="79"/>
  <c r="AC42" i="79"/>
  <c r="J43" i="79"/>
  <c r="AC43" i="79"/>
  <c r="J44" i="79"/>
  <c r="AC44" i="79"/>
  <c r="J45" i="79"/>
  <c r="AC45" i="79"/>
  <c r="J46" i="79"/>
  <c r="AC46" i="79"/>
  <c r="J47" i="79"/>
  <c r="AC47" i="79"/>
  <c r="R48" i="79"/>
  <c r="F8" i="79"/>
  <c r="AA8" i="79"/>
  <c r="F9" i="79"/>
  <c r="F10" i="79"/>
  <c r="AA10" i="79"/>
  <c r="F11" i="79"/>
  <c r="F12" i="79"/>
  <c r="AA12" i="79"/>
  <c r="F13" i="79"/>
  <c r="F14" i="79"/>
  <c r="AA14" i="79"/>
  <c r="F15" i="79"/>
  <c r="AA15" i="79"/>
  <c r="F17" i="79"/>
  <c r="AA17" i="79"/>
  <c r="F19" i="79"/>
  <c r="AA19" i="79"/>
  <c r="F21" i="79"/>
  <c r="AA21" i="79"/>
  <c r="F23" i="79"/>
  <c r="AA23" i="79"/>
  <c r="F25" i="79"/>
  <c r="F27" i="79"/>
  <c r="AA27" i="79"/>
  <c r="F28" i="79"/>
  <c r="F29" i="79"/>
  <c r="AA29" i="79"/>
  <c r="F30" i="79"/>
  <c r="F31" i="79"/>
  <c r="AA31" i="79"/>
  <c r="F32" i="79"/>
  <c r="F33" i="79"/>
  <c r="AA33" i="79"/>
  <c r="F35" i="79"/>
  <c r="F36" i="79"/>
  <c r="AA36" i="79"/>
  <c r="F38" i="79"/>
  <c r="F39" i="79"/>
  <c r="AA39" i="79"/>
  <c r="F40" i="79"/>
  <c r="F41" i="79"/>
  <c r="AA41" i="79"/>
  <c r="F42" i="79"/>
  <c r="AA42" i="79"/>
  <c r="F43" i="79"/>
  <c r="AA43" i="79"/>
  <c r="F44" i="79"/>
  <c r="F45" i="79"/>
  <c r="AA45" i="79"/>
  <c r="F46" i="79"/>
  <c r="AA46" i="79"/>
  <c r="F47" i="79"/>
  <c r="AA47" i="79"/>
  <c r="T48" i="79"/>
  <c r="H8" i="79"/>
  <c r="H9" i="79"/>
  <c r="AB9" i="79"/>
  <c r="H10" i="79"/>
  <c r="H11" i="79"/>
  <c r="AB11" i="79"/>
  <c r="H12" i="79"/>
  <c r="H13" i="79"/>
  <c r="AB13" i="79"/>
  <c r="H14" i="79"/>
  <c r="H15" i="79"/>
  <c r="H17" i="79"/>
  <c r="H19" i="79"/>
  <c r="H21" i="79"/>
  <c r="H23" i="79"/>
  <c r="H25" i="79"/>
  <c r="AB25" i="79"/>
  <c r="H27" i="79"/>
  <c r="H28" i="79"/>
  <c r="AB28" i="79"/>
  <c r="H29" i="79"/>
  <c r="H30" i="79"/>
  <c r="AB30" i="79"/>
  <c r="H31" i="79"/>
  <c r="H32" i="79"/>
  <c r="AB32" i="79"/>
  <c r="H33" i="79"/>
  <c r="H35" i="79"/>
  <c r="AB35" i="79"/>
  <c r="H36" i="79"/>
  <c r="H38" i="79"/>
  <c r="AB38" i="79"/>
  <c r="H39" i="79"/>
  <c r="H40" i="79"/>
  <c r="AB40" i="79"/>
  <c r="H41" i="79"/>
  <c r="AB41" i="79"/>
  <c r="H42" i="79"/>
  <c r="AB42" i="79"/>
  <c r="H44" i="79"/>
  <c r="AB44" i="79"/>
  <c r="H45" i="79"/>
  <c r="AB45" i="79"/>
  <c r="H46" i="79"/>
  <c r="H47" i="79"/>
  <c r="AB47"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N20" i="1"/>
  <c r="N6" i="1"/>
  <c r="C19" i="6"/>
  <c r="A6" i="1"/>
  <c r="B24" i="1"/>
  <c r="F11"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BC13" i="3"/>
  <c r="BD13" i="3"/>
  <c r="BE13" i="3"/>
  <c r="BF13" i="3"/>
  <c r="BG13" i="3"/>
  <c r="BH13" i="3"/>
  <c r="BI13" i="3"/>
  <c r="BJ13" i="3"/>
  <c r="BK13" i="3"/>
  <c r="BM13" i="3"/>
  <c r="BN13" i="3"/>
  <c r="BO13" i="3"/>
  <c r="BP13" i="3"/>
  <c r="BQ13" i="3"/>
  <c r="BR13" i="3"/>
  <c r="BS13" i="3"/>
  <c r="BT13" i="3"/>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AB26" i="71"/>
  <c r="Q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X16" i="71"/>
  <c r="Q17" i="71"/>
  <c r="AB17" i="71"/>
  <c r="P17" i="71"/>
  <c r="O17" i="71"/>
  <c r="Y17" i="71"/>
  <c r="Z17" i="71"/>
  <c r="N17" i="71"/>
  <c r="Q16" i="71"/>
  <c r="P16" i="71"/>
  <c r="O16" i="71"/>
  <c r="N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Q18" i="36"/>
  <c r="Z18" i="36"/>
  <c r="D66" i="36"/>
  <c r="E66" i="36"/>
  <c r="F66" i="36"/>
  <c r="G66" i="36"/>
  <c r="H18" i="36"/>
  <c r="AB18" i="36"/>
  <c r="F18" i="36"/>
  <c r="AA18" i="36"/>
  <c r="C18" i="36"/>
  <c r="Z18" i="35"/>
  <c r="Q18" i="35"/>
  <c r="D68" i="35"/>
  <c r="E68" i="35"/>
  <c r="F68" i="35"/>
  <c r="F18" i="35"/>
  <c r="C18" i="35"/>
  <c r="Q21" i="37"/>
  <c r="Z21" i="37"/>
  <c r="D77" i="37"/>
  <c r="E77" i="37"/>
  <c r="C21" i="37"/>
  <c r="Z21" i="34"/>
  <c r="Q21" i="34"/>
  <c r="D84" i="34"/>
  <c r="E84" i="34"/>
  <c r="F84" i="34"/>
  <c r="F21" i="34"/>
  <c r="AA21"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4"/>
  <c r="AB21" i="34"/>
  <c r="H21" i="33"/>
  <c r="U21" i="33"/>
  <c r="F21" i="33"/>
  <c r="E83" i="21"/>
  <c r="S21" i="21"/>
  <c r="H1" i="69"/>
  <c r="W25" i="40"/>
  <c r="U25" i="40"/>
  <c r="W29" i="39"/>
  <c r="AB21" i="37"/>
  <c r="U21" i="37"/>
  <c r="S21" i="37"/>
  <c r="U21" i="34"/>
  <c r="AB21" i="33"/>
  <c r="AA21" i="33"/>
  <c r="S21" i="33"/>
  <c r="U18" i="35"/>
  <c r="AC18" i="35"/>
  <c r="W18" i="35"/>
  <c r="G77" i="37"/>
  <c r="J21" i="37"/>
  <c r="G84" i="34"/>
  <c r="J21" i="34"/>
  <c r="G83" i="33"/>
  <c r="J21" i="33"/>
  <c r="F83" i="21"/>
  <c r="G83" i="21"/>
  <c r="H21" i="21"/>
  <c r="F38" i="69"/>
  <c r="E37" i="69"/>
  <c r="F36" i="69"/>
  <c r="F35" i="69"/>
  <c r="F21" i="69"/>
  <c r="C21" i="69"/>
  <c r="F20" i="69"/>
  <c r="E10" i="69"/>
  <c r="E9" i="69"/>
  <c r="C7"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J51" i="67"/>
  <c r="M47" i="67"/>
  <c r="D46" i="67"/>
  <c r="F33" i="67"/>
  <c r="F61" i="67"/>
  <c r="F23" i="67"/>
  <c r="D22"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6" i="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R28" i="31"/>
  <c r="R29" i="31"/>
  <c r="S29" i="31"/>
  <c r="R30" i="31"/>
  <c r="R31" i="31"/>
  <c r="S31" i="31"/>
  <c r="R32" i="31"/>
  <c r="R33" i="31"/>
  <c r="S33" i="31"/>
  <c r="R34" i="31"/>
  <c r="R35" i="31"/>
  <c r="S35" i="31"/>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R108" i="31"/>
  <c r="R109" i="31"/>
  <c r="R110" i="31"/>
  <c r="R111" i="31"/>
  <c r="R112" i="31"/>
  <c r="R113" i="31"/>
  <c r="R114" i="31"/>
  <c r="R115" i="31"/>
  <c r="R116" i="31"/>
  <c r="R117" i="31"/>
  <c r="R118" i="31"/>
  <c r="R119" i="31"/>
  <c r="R120" i="31"/>
  <c r="R121" i="31"/>
  <c r="R122" i="31"/>
  <c r="R123" i="31"/>
  <c r="S123" i="31"/>
  <c r="R124" i="31"/>
  <c r="R125" i="31"/>
  <c r="S125" i="31"/>
  <c r="R126" i="31"/>
  <c r="R127" i="31"/>
  <c r="S127" i="31"/>
  <c r="R128" i="31"/>
  <c r="R129" i="31"/>
  <c r="S129" i="31"/>
  <c r="R130" i="31"/>
  <c r="R131" i="31"/>
  <c r="S131" i="31"/>
  <c r="R132" i="31"/>
  <c r="R133" i="31"/>
  <c r="S133" i="31"/>
  <c r="R134" i="31"/>
  <c r="R135" i="31"/>
  <c r="S135" i="31"/>
  <c r="R136" i="31"/>
  <c r="R137" i="31"/>
  <c r="S137" i="31"/>
  <c r="R138" i="31"/>
  <c r="R139" i="31"/>
  <c r="S139" i="31"/>
  <c r="R140" i="31"/>
  <c r="R141" i="31"/>
  <c r="S141" i="31"/>
  <c r="R142" i="31"/>
  <c r="R143" i="31"/>
  <c r="S143" i="31"/>
  <c r="R144" i="31"/>
  <c r="R145" i="31"/>
  <c r="S145" i="31"/>
  <c r="R146" i="31"/>
  <c r="R147" i="31"/>
  <c r="S147" i="31"/>
  <c r="R148" i="31"/>
  <c r="R149" i="31"/>
  <c r="S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S501" i="31"/>
  <c r="R502" i="31"/>
  <c r="R503" i="31"/>
  <c r="R504" i="31"/>
  <c r="R505" i="31"/>
  <c r="S505" i="31"/>
  <c r="R506" i="31"/>
  <c r="R507" i="31"/>
  <c r="R508" i="31"/>
  <c r="R509" i="31"/>
  <c r="R510" i="31"/>
  <c r="R511" i="31"/>
  <c r="R512" i="31"/>
  <c r="R513" i="31"/>
  <c r="R514" i="31"/>
  <c r="R515" i="31"/>
  <c r="R516" i="31"/>
  <c r="R517" i="31"/>
  <c r="R518" i="31"/>
  <c r="R519" i="31"/>
  <c r="R520" i="31"/>
  <c r="R521" i="31"/>
  <c r="R522" i="31"/>
  <c r="R523" i="31"/>
  <c r="R524"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N16" i="3"/>
  <c r="BN17" i="3"/>
  <c r="BP14" i="3"/>
  <c r="BP15" i="3"/>
  <c r="BP16" i="3"/>
  <c r="BP17" i="3"/>
  <c r="E20" i="6"/>
  <c r="E21" i="6"/>
  <c r="K8" i="1"/>
  <c r="M8" i="1"/>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H5"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H23" i="34"/>
  <c r="U23" i="34"/>
  <c r="J23" i="34"/>
  <c r="F19" i="34"/>
  <c r="H17" i="34"/>
  <c r="U17" i="34"/>
  <c r="F15" i="34"/>
  <c r="J15" i="34"/>
  <c r="AC15" i="34"/>
  <c r="H15" i="34"/>
  <c r="AB15" i="34"/>
  <c r="S9" i="34"/>
  <c r="W8" i="34"/>
  <c r="J2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J14" i="34"/>
  <c r="W14" i="34"/>
  <c r="F14" i="34"/>
  <c r="S14" i="34"/>
  <c r="H14" i="34"/>
  <c r="H30" i="34"/>
  <c r="F30" i="34"/>
  <c r="S30" i="34"/>
  <c r="J30" i="34"/>
  <c r="H32" i="34"/>
  <c r="F32" i="34"/>
  <c r="J32" i="34"/>
  <c r="W32" i="34"/>
  <c r="H46" i="34"/>
  <c r="U46" i="34"/>
  <c r="F46" i="34"/>
  <c r="J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AB45" i="33"/>
  <c r="U31"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U14" i="40"/>
  <c r="AC33" i="36"/>
  <c r="U35" i="35"/>
  <c r="AA12" i="35"/>
  <c r="W23" i="35"/>
  <c r="W14" i="37"/>
  <c r="AB28" i="37"/>
  <c r="U33" i="37"/>
  <c r="U39" i="37"/>
  <c r="W26" i="37"/>
  <c r="AC8" i="37"/>
  <c r="U26" i="37"/>
  <c r="W47" i="34"/>
  <c r="AB13" i="34"/>
  <c r="AC31" i="33"/>
  <c r="W44" i="33"/>
  <c r="U11" i="33"/>
  <c r="U19" i="21"/>
  <c r="W44" i="21"/>
  <c r="U26" i="21"/>
  <c r="AC46" i="21"/>
  <c r="U12" i="21"/>
  <c r="AB38" i="21"/>
  <c r="F43" i="33"/>
  <c r="AA43" i="33"/>
  <c r="W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E7" i="34"/>
  <c r="G7" i="34"/>
  <c r="I7" i="34"/>
  <c r="C7" i="36"/>
  <c r="W35" i="40"/>
  <c r="A118" i="9"/>
  <c r="A4" i="52"/>
  <c r="B41" i="72"/>
  <c r="J11" i="39"/>
  <c r="W11" i="39"/>
  <c r="F11" i="39"/>
  <c r="AA11" i="39"/>
  <c r="A12" i="52"/>
  <c r="B56" i="72"/>
  <c r="S11" i="39"/>
  <c r="G4" i="4"/>
  <c r="I4" i="4"/>
  <c r="K5" i="4"/>
  <c r="B47" i="48"/>
  <c r="A2" i="9"/>
  <c r="N5" i="43"/>
  <c r="F59" i="43"/>
  <c r="H62" i="43"/>
  <c r="G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D5" i="3"/>
  <c r="AZ309" i="3"/>
  <c r="AZ317" i="3"/>
  <c r="AZ325" i="3"/>
  <c r="AZ333" i="3"/>
  <c r="AZ341" i="3"/>
  <c r="BQ5" i="3"/>
  <c r="F28" i="6"/>
  <c r="AC5" i="3"/>
  <c r="AZ549" i="3"/>
  <c r="AZ506" i="3"/>
  <c r="AZ496" i="3"/>
  <c r="G548" i="3"/>
  <c r="G538" i="3"/>
  <c r="G520" i="3"/>
  <c r="G502" i="3"/>
  <c r="BS5" i="3"/>
  <c r="BP5" i="3"/>
  <c r="G29" i="6"/>
  <c r="BN5" i="3"/>
  <c r="BK5" i="3"/>
  <c r="BI5" i="3"/>
  <c r="BG5" i="3"/>
  <c r="BE5" i="3"/>
  <c r="BC5" i="3"/>
  <c r="G17" i="3"/>
  <c r="BA17" i="3"/>
  <c r="BT5" i="3"/>
  <c r="AZ350" i="3"/>
  <c r="AZ352" i="3"/>
  <c r="AZ356" i="3"/>
  <c r="AZ364" i="3"/>
  <c r="AZ368" i="3"/>
  <c r="BA15" i="3"/>
  <c r="BB5" i="3"/>
  <c r="E8" i="6"/>
  <c r="BR5" i="3"/>
  <c r="G28" i="6"/>
  <c r="AZ380" i="3"/>
  <c r="AZ384" i="3"/>
  <c r="AZ388" i="3"/>
  <c r="AZ392" i="3"/>
  <c r="AZ396" i="3"/>
  <c r="AZ499" i="3"/>
  <c r="AZ509" i="3"/>
  <c r="G509" i="3"/>
  <c r="BL493" i="3"/>
  <c r="AZ491" i="3"/>
  <c r="AZ390"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AC26" i="33"/>
  <c r="W26" i="33"/>
  <c r="W27" i="34"/>
  <c r="AC27" i="34"/>
  <c r="AB34" i="36"/>
  <c r="U34" i="36"/>
  <c r="AB33" i="36"/>
  <c r="U33" i="36"/>
  <c r="AC12" i="39"/>
  <c r="W12" i="39"/>
  <c r="AC39" i="40"/>
  <c r="W39" i="40"/>
  <c r="AZ401" i="3"/>
  <c r="AZ412" i="3"/>
  <c r="AZ417" i="3"/>
  <c r="AZ428" i="3"/>
  <c r="AZ433" i="3"/>
  <c r="AZ465" i="3"/>
  <c r="AZ586" i="3"/>
  <c r="G101" i="43"/>
  <c r="G105" i="4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S43" i="34"/>
  <c r="AB41" i="34"/>
  <c r="AA45" i="34"/>
  <c r="U28" i="34"/>
  <c r="S17" i="34"/>
  <c r="AA29" i="34"/>
  <c r="U27" i="34"/>
  <c r="S23" i="34"/>
  <c r="U15" i="34"/>
  <c r="S10"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L17" i="3"/>
  <c r="AZ17" i="3"/>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9" i="34"/>
  <c r="D59" i="34"/>
  <c r="E59" i="34"/>
  <c r="F59" i="34"/>
  <c r="G59" i="34"/>
  <c r="H59" i="34"/>
  <c r="I59" i="34"/>
  <c r="J59" i="34"/>
  <c r="K59" i="34"/>
  <c r="L59" i="34"/>
  <c r="M59" i="34"/>
  <c r="N59" i="34"/>
  <c r="O59" i="34"/>
  <c r="C52" i="37"/>
  <c r="D52" i="37"/>
  <c r="E52" i="37"/>
  <c r="A4" i="51"/>
  <c r="B6" i="72"/>
  <c r="C4" i="1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28" i="67"/>
  <c r="F52" i="9"/>
  <c r="M18" i="67"/>
  <c r="F32"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U10" i="34"/>
  <c r="J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AB11"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P7" i="1"/>
  <c r="AC11" i="37"/>
  <c r="W11" i="37"/>
  <c r="AC11" i="34"/>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J1" i="73"/>
  <c r="C13" i="12"/>
  <c r="C30" i="69"/>
  <c r="C77" i="9"/>
  <c r="C74" i="9"/>
  <c r="C28" i="67"/>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F4" i="73"/>
  <c r="B13" i="76"/>
  <c r="D6" i="73"/>
  <c r="B10" i="76"/>
  <c r="D5" i="73"/>
  <c r="K1" i="73"/>
  <c r="M56" i="81"/>
  <c r="J56" i="81"/>
  <c r="J57" i="81"/>
  <c r="J59" i="81"/>
  <c r="J61" i="81"/>
  <c r="N56" i="81"/>
  <c r="K56" i="81"/>
  <c r="S7" i="43"/>
  <c r="AG11" i="43"/>
  <c r="AG13" i="43"/>
  <c r="AH11" i="43"/>
  <c r="AH13" i="43"/>
  <c r="AQ12" i="1"/>
  <c r="G103" i="43"/>
  <c r="L101" i="43"/>
  <c r="B113" i="43"/>
  <c r="BJ5" i="3"/>
  <c r="E14" i="6"/>
  <c r="BF5" i="3"/>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E28" i="6"/>
  <c r="K62" i="43"/>
  <c r="M62" i="43"/>
  <c r="N62" i="43"/>
  <c r="E29" i="6"/>
  <c r="K15" i="1"/>
  <c r="AZ521" i="3"/>
  <c r="AZ508" i="3"/>
  <c r="AZ520" i="3"/>
  <c r="AC40" i="37"/>
  <c r="W40" i="37"/>
  <c r="U11" i="36"/>
  <c r="AB11" i="36"/>
  <c r="W32" i="36"/>
  <c r="AC32" i="36"/>
  <c r="W45" i="33"/>
  <c r="AC45" i="33"/>
  <c r="S13" i="33"/>
  <c r="AA13" i="33"/>
  <c r="U26" i="33"/>
  <c r="AB26" i="33"/>
  <c r="G88" i="34"/>
  <c r="H88" i="34"/>
  <c r="I88" i="34"/>
  <c r="J88" i="34"/>
  <c r="K88" i="34"/>
  <c r="L88" i="34"/>
  <c r="M88" i="34"/>
  <c r="F25" i="34"/>
  <c r="F90" i="34"/>
  <c r="G90" i="34"/>
  <c r="H90" i="34"/>
  <c r="I90" i="34"/>
  <c r="J90" i="34"/>
  <c r="K90" i="34"/>
  <c r="L90" i="34"/>
  <c r="M90" i="34"/>
  <c r="F27" i="34"/>
  <c r="W12" i="34"/>
  <c r="AC12" i="34"/>
  <c r="H7" i="36"/>
  <c r="J7" i="36"/>
  <c r="K60" i="43"/>
  <c r="M60" i="43"/>
  <c r="N60" i="43"/>
  <c r="K67" i="43"/>
  <c r="M67" i="43"/>
  <c r="N67" i="43"/>
  <c r="K63" i="43"/>
  <c r="M63" i="43"/>
  <c r="N63" i="43"/>
  <c r="K65" i="43"/>
  <c r="M65" i="43"/>
  <c r="N65" i="43"/>
  <c r="H7" i="34"/>
  <c r="J7" i="34"/>
  <c r="J7" i="21"/>
  <c r="F7" i="21"/>
  <c r="F7" i="36"/>
  <c r="J7" i="37"/>
  <c r="F7" i="37"/>
  <c r="G17" i="43"/>
  <c r="K61" i="43"/>
  <c r="M61" i="43"/>
  <c r="N61" i="43"/>
  <c r="K59" i="43"/>
  <c r="M59" i="43"/>
  <c r="N59" i="43"/>
  <c r="D12" i="52"/>
  <c r="D127" i="9"/>
  <c r="D13" i="52"/>
  <c r="D125" i="9"/>
  <c r="D11" i="52"/>
  <c r="D16" i="53"/>
  <c r="F7" i="34"/>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AZ511" i="3"/>
  <c r="AZ515" i="3"/>
  <c r="AZ519" i="3"/>
  <c r="AZ565" i="3"/>
  <c r="AZ569" i="3"/>
  <c r="AZ573" i="3"/>
  <c r="AZ577" i="3"/>
  <c r="AZ583" i="3"/>
  <c r="AZ558" i="3"/>
  <c r="S44" i="33"/>
  <c r="AA44" i="33"/>
  <c r="S14" i="33"/>
  <c r="AA14" i="33"/>
  <c r="AA11" i="36"/>
  <c r="S11" i="36"/>
  <c r="AC11" i="35"/>
  <c r="W11" i="35"/>
  <c r="W30" i="34"/>
  <c r="AC30" i="34"/>
  <c r="AA45" i="33"/>
  <c r="S45" i="33"/>
  <c r="AC29" i="33"/>
  <c r="W29" i="33"/>
  <c r="AC34" i="35"/>
  <c r="W34" i="35"/>
  <c r="U30" i="35"/>
  <c r="S26" i="33"/>
  <c r="H12" i="34"/>
  <c r="F34" i="35"/>
  <c r="H34" i="35"/>
  <c r="J36" i="35"/>
  <c r="BA551" i="3"/>
  <c r="AZ551" i="3"/>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298" i="3"/>
  <c r="AZ301" i="3"/>
  <c r="AZ122" i="3"/>
  <c r="AZ125" i="3"/>
  <c r="BL550" i="3"/>
  <c r="AZ550" i="3"/>
  <c r="AZ439" i="3"/>
  <c r="AZ475" i="3"/>
  <c r="AZ489" i="3"/>
  <c r="AZ316" i="3"/>
  <c r="AZ332" i="3"/>
  <c r="AZ231" i="3"/>
  <c r="AZ247" i="3"/>
  <c r="AZ264" i="3"/>
  <c r="AZ293" i="3"/>
  <c r="BL15" i="3"/>
  <c r="AZ15" i="3"/>
  <c r="C40" i="69"/>
  <c r="AZ185" i="3"/>
  <c r="AZ207" i="3"/>
  <c r="AZ22" i="3"/>
  <c r="AZ25" i="3"/>
  <c r="AZ36" i="3"/>
  <c r="AZ46" i="3"/>
  <c r="AZ57" i="3"/>
  <c r="AZ62" i="3"/>
  <c r="AZ81" i="3"/>
  <c r="AZ99" i="3"/>
  <c r="AZ103" i="3"/>
  <c r="AZ106" i="3"/>
  <c r="F3" i="35"/>
  <c r="D24" i="67"/>
  <c r="D23" i="67"/>
  <c r="X20" i="71"/>
  <c r="X21" i="71"/>
  <c r="X22" i="71"/>
  <c r="AA26" i="71"/>
  <c r="AA24" i="71"/>
  <c r="C34" i="71"/>
  <c r="D34" i="71"/>
  <c r="D33" i="71"/>
  <c r="C7" i="79"/>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 i="67"/>
  <c r="K6" i="1"/>
  <c r="G16" i="1"/>
  <c r="G1" i="15"/>
  <c r="P74" i="67"/>
  <c r="Y11" i="71"/>
  <c r="Z11" i="71"/>
  <c r="BL13" i="3"/>
  <c r="BL5" i="3"/>
  <c r="BA13" i="3"/>
  <c r="AB10" i="71"/>
  <c r="C37" i="79"/>
  <c r="Y6" i="1"/>
  <c r="C5" i="43"/>
  <c r="C37" i="34"/>
  <c r="U30" i="79"/>
  <c r="U45" i="79"/>
  <c r="U47" i="79"/>
  <c r="AB46" i="79"/>
  <c r="U46" i="79"/>
  <c r="AB39" i="79"/>
  <c r="U39" i="79"/>
  <c r="AB36" i="79"/>
  <c r="U36" i="79"/>
  <c r="AB33" i="79"/>
  <c r="U33" i="79"/>
  <c r="AB31" i="79"/>
  <c r="U31" i="79"/>
  <c r="AB29" i="79"/>
  <c r="U29" i="79"/>
  <c r="AB27" i="79"/>
  <c r="U27" i="79"/>
  <c r="AB23" i="79"/>
  <c r="U23" i="79"/>
  <c r="AB19" i="79"/>
  <c r="U19" i="79"/>
  <c r="AB15" i="79"/>
  <c r="U15" i="79"/>
  <c r="AA44" i="79"/>
  <c r="S44" i="79"/>
  <c r="AA40" i="79"/>
  <c r="S40" i="79"/>
  <c r="AA38" i="79"/>
  <c r="S38" i="79"/>
  <c r="AA35" i="79"/>
  <c r="S35" i="79"/>
  <c r="AA32" i="79"/>
  <c r="S32" i="79"/>
  <c r="AA30" i="79"/>
  <c r="S30" i="79"/>
  <c r="AA28" i="79"/>
  <c r="S28" i="79"/>
  <c r="AA25" i="79"/>
  <c r="S25" i="79"/>
  <c r="Y10" i="71"/>
  <c r="Z10" i="71"/>
  <c r="AA9" i="71"/>
  <c r="X8" i="71"/>
  <c r="X9" i="71"/>
  <c r="Y8" i="71"/>
  <c r="Z8" i="71"/>
  <c r="AA8" i="71"/>
  <c r="AB8" i="71"/>
  <c r="X5" i="71"/>
  <c r="Y5" i="71"/>
  <c r="Z5" i="71"/>
  <c r="AB5" i="71"/>
  <c r="D3" i="79"/>
  <c r="L19" i="6"/>
  <c r="L27" i="6"/>
  <c r="E22" i="43"/>
  <c r="G22" i="43"/>
  <c r="AB21" i="79"/>
  <c r="U21" i="79"/>
  <c r="AB17" i="79"/>
  <c r="U17" i="79"/>
  <c r="AB14" i="79"/>
  <c r="U14" i="79"/>
  <c r="AB12" i="79"/>
  <c r="U12" i="79"/>
  <c r="AB10" i="79"/>
  <c r="U10" i="79"/>
  <c r="AB8" i="79"/>
  <c r="U8" i="79"/>
  <c r="AA13" i="79"/>
  <c r="S13" i="79"/>
  <c r="AA11" i="79"/>
  <c r="S11" i="79"/>
  <c r="AA9" i="79"/>
  <c r="S9" i="79"/>
  <c r="AC38" i="79"/>
  <c r="W38" i="79"/>
  <c r="AC25" i="79"/>
  <c r="W25" i="79"/>
  <c r="C34" i="79"/>
  <c r="E19" i="6"/>
  <c r="C34" i="34"/>
  <c r="C27" i="31"/>
  <c r="G13" i="3"/>
  <c r="H43" i="79"/>
  <c r="F124" i="79"/>
  <c r="G124" i="79"/>
  <c r="H124" i="79"/>
  <c r="I124" i="79"/>
  <c r="J124" i="79"/>
  <c r="K124" i="79"/>
  <c r="L124" i="79"/>
  <c r="M124" i="79"/>
  <c r="U44" i="79"/>
  <c r="U40" i="79"/>
  <c r="C25" i="31"/>
  <c r="C26" i="31"/>
  <c r="U44" i="34"/>
  <c r="AC10" i="34"/>
  <c r="AC36" i="34"/>
  <c r="E9" i="49"/>
  <c r="E13" i="49"/>
  <c r="B14" i="49"/>
  <c r="E4" i="49"/>
  <c r="B5" i="49"/>
  <c r="E5" i="49"/>
  <c r="E6" i="49"/>
  <c r="E16" i="49"/>
  <c r="B9" i="49"/>
  <c r="B6" i="49"/>
  <c r="E7" i="49"/>
  <c r="B7" i="49"/>
  <c r="C4" i="4"/>
  <c r="B4" i="62"/>
  <c r="B71" i="72"/>
  <c r="G112" i="79"/>
  <c r="F37" i="79"/>
  <c r="H37" i="34"/>
  <c r="G112" i="34"/>
  <c r="AC17" i="34"/>
  <c r="G5" i="3"/>
  <c r="B3" i="3"/>
  <c r="E237" i="3"/>
  <c r="F27" i="6"/>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AZ14" i="3"/>
  <c r="F22" i="43"/>
  <c r="D22" i="43"/>
  <c r="C21" i="43"/>
  <c r="J34" i="34"/>
  <c r="B13" i="70"/>
  <c r="B9" i="70"/>
  <c r="B10" i="70"/>
  <c r="B7" i="70"/>
  <c r="B8" i="70"/>
  <c r="B11" i="70"/>
  <c r="B12" i="70"/>
  <c r="C29" i="68"/>
  <c r="D27" i="68"/>
  <c r="C47" i="68"/>
  <c r="D45" i="68"/>
  <c r="C9" i="68"/>
  <c r="I1" i="73"/>
  <c r="B39" i="1"/>
  <c r="G1" i="73"/>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F34" i="34"/>
  <c r="H34" i="34"/>
  <c r="F34" i="79"/>
  <c r="H34" i="79"/>
  <c r="M6" i="1"/>
  <c r="H16" i="1"/>
  <c r="B53" i="71"/>
  <c r="N54" i="71"/>
  <c r="D26" i="71"/>
  <c r="C27" i="71"/>
  <c r="B14" i="71"/>
  <c r="B13" i="71"/>
  <c r="S15" i="71"/>
  <c r="C59" i="79"/>
  <c r="D59" i="79"/>
  <c r="E59" i="79"/>
  <c r="F59" i="79"/>
  <c r="G59" i="79"/>
  <c r="H59" i="79"/>
  <c r="I59" i="79"/>
  <c r="J59" i="79"/>
  <c r="K59" i="79"/>
  <c r="L59" i="79"/>
  <c r="M59" i="79"/>
  <c r="N59" i="79"/>
  <c r="O59" i="79"/>
  <c r="E7" i="79"/>
  <c r="AC36" i="35"/>
  <c r="W36" i="35"/>
  <c r="AA34" i="35"/>
  <c r="S34" i="35"/>
  <c r="E58" i="40"/>
  <c r="E63" i="39"/>
  <c r="E66" i="39"/>
  <c r="J66" i="43"/>
  <c r="D66" i="43"/>
  <c r="J64" i="43"/>
  <c r="D64" i="43"/>
  <c r="AA7" i="34"/>
  <c r="S7" i="34"/>
  <c r="D59" i="43"/>
  <c r="J59" i="43"/>
  <c r="J61" i="43"/>
  <c r="D61" i="43"/>
  <c r="S7" i="37"/>
  <c r="AA7" i="37"/>
  <c r="R42" i="37"/>
  <c r="AA7" i="36"/>
  <c r="R36" i="36"/>
  <c r="S7" i="36"/>
  <c r="W7" i="21"/>
  <c r="AC7" i="21"/>
  <c r="V48" i="21"/>
  <c r="I48" i="21"/>
  <c r="AB7" i="34"/>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J34" i="79"/>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AZ13" i="3"/>
  <c r="AZ5" i="3"/>
  <c r="D18" i="71"/>
  <c r="C19" i="71"/>
  <c r="T39" i="71"/>
  <c r="D39" i="71"/>
  <c r="AB34" i="35"/>
  <c r="U34" i="35"/>
  <c r="U12" i="34"/>
  <c r="AB12" i="34"/>
  <c r="BA5" i="3"/>
  <c r="E27" i="6"/>
  <c r="D17" i="53"/>
  <c r="B36" i="72"/>
  <c r="B34" i="72"/>
  <c r="W7" i="37"/>
  <c r="AC7" i="37"/>
  <c r="V42" i="37"/>
  <c r="I42" i="37"/>
  <c r="AA7" i="21"/>
  <c r="R48" i="21"/>
  <c r="S7" i="21"/>
  <c r="AC7" i="34"/>
  <c r="W7" i="34"/>
  <c r="W7" i="36"/>
  <c r="AC7" i="36"/>
  <c r="V36" i="36"/>
  <c r="I36" i="36"/>
  <c r="AA27" i="34"/>
  <c r="S27" i="34"/>
  <c r="S25" i="34"/>
  <c r="AA25" i="34"/>
  <c r="J62" i="43"/>
  <c r="D62" i="43"/>
  <c r="J7" i="35"/>
  <c r="H7" i="35"/>
  <c r="H7" i="33"/>
  <c r="J7" i="33"/>
  <c r="J63" i="40"/>
  <c r="I65" i="40"/>
  <c r="D6" i="71"/>
  <c r="C5" i="71"/>
  <c r="K4" i="4"/>
  <c r="B46" i="48"/>
  <c r="B4" i="72"/>
  <c r="U43" i="79"/>
  <c r="AB43" i="79"/>
  <c r="B40" i="1"/>
  <c r="F24" i="15"/>
  <c r="C24" i="15"/>
  <c r="S37" i="79"/>
  <c r="AA37" i="79"/>
  <c r="H112" i="79"/>
  <c r="I112" i="79"/>
  <c r="J112" i="79"/>
  <c r="K112" i="79"/>
  <c r="L112" i="79"/>
  <c r="M112" i="79"/>
  <c r="J37" i="79"/>
  <c r="H37" i="79"/>
  <c r="F37" i="34"/>
  <c r="J37" i="34"/>
  <c r="H112" i="34"/>
  <c r="I112" i="34"/>
  <c r="J112" i="34"/>
  <c r="K112" i="34"/>
  <c r="L112" i="34"/>
  <c r="M112" i="34"/>
  <c r="AB37"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AC34" i="34"/>
  <c r="W34" i="34"/>
  <c r="S10" i="40"/>
  <c r="AC34" i="79"/>
  <c r="W34" i="79"/>
  <c r="U10" i="40"/>
  <c r="M11" i="15"/>
  <c r="F11" i="15"/>
  <c r="C53" i="15"/>
  <c r="F11" i="67"/>
  <c r="M11" i="67"/>
  <c r="J10" i="67"/>
  <c r="F37" i="15"/>
  <c r="J15" i="15"/>
  <c r="F36" i="15"/>
  <c r="M29" i="15"/>
  <c r="M23" i="67"/>
  <c r="F26" i="67"/>
  <c r="F16" i="67"/>
  <c r="F43" i="15"/>
  <c r="M28" i="15"/>
  <c r="L47" i="15"/>
  <c r="L48" i="15"/>
  <c r="M27" i="67"/>
  <c r="F13" i="67"/>
  <c r="C76" i="15"/>
  <c r="F26" i="15"/>
  <c r="F9" i="67"/>
  <c r="AA34" i="79"/>
  <c r="R49" i="79"/>
  <c r="AB34" i="79"/>
  <c r="T49" i="79"/>
  <c r="V49" i="79"/>
  <c r="R50" i="79"/>
  <c r="C50" i="79"/>
  <c r="U6" i="1"/>
  <c r="F6" i="67"/>
  <c r="F42" i="67"/>
  <c r="M6" i="15"/>
  <c r="F7" i="67"/>
  <c r="M24" i="15"/>
  <c r="F37" i="67"/>
  <c r="M6" i="67"/>
  <c r="F38" i="15"/>
  <c r="M9" i="67"/>
  <c r="F8" i="15"/>
  <c r="M22" i="67"/>
  <c r="J15" i="67"/>
  <c r="M22" i="15"/>
  <c r="M29" i="67"/>
  <c r="M26" i="67"/>
  <c r="M23" i="15"/>
  <c r="F43" i="67"/>
  <c r="F16" i="15"/>
  <c r="F7" i="15"/>
  <c r="F9" i="15"/>
  <c r="C76" i="67"/>
  <c r="F8" i="67"/>
  <c r="F36" i="67"/>
  <c r="M24" i="67"/>
  <c r="F42" i="15"/>
  <c r="M9" i="15"/>
  <c r="M26" i="15"/>
  <c r="L47" i="67"/>
  <c r="L48" i="67"/>
  <c r="M8" i="67"/>
  <c r="F40" i="67"/>
  <c r="M8" i="15"/>
  <c r="F13" i="15"/>
  <c r="F38" i="67"/>
  <c r="M27" i="15"/>
  <c r="F40" i="15"/>
  <c r="M28" i="67"/>
  <c r="D113" i="43"/>
  <c r="M16" i="1"/>
  <c r="N16" i="1"/>
  <c r="P28" i="43"/>
  <c r="F22" i="69"/>
  <c r="C26" i="69"/>
  <c r="D22" i="69"/>
  <c r="M28" i="43"/>
  <c r="F22" i="11"/>
  <c r="C26" i="11"/>
  <c r="D22" i="11"/>
  <c r="F24" i="67"/>
  <c r="C24" i="67"/>
  <c r="O28" i="43"/>
  <c r="C35" i="69"/>
  <c r="F68" i="67"/>
  <c r="F50" i="67"/>
  <c r="M7" i="67"/>
  <c r="J6" i="67"/>
  <c r="J18" i="67"/>
  <c r="F66" i="67"/>
  <c r="J53"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C6" i="67"/>
  <c r="C32" i="67"/>
  <c r="C27" i="67"/>
  <c r="F51" i="67"/>
  <c r="F65" i="67"/>
  <c r="Q71" i="67"/>
  <c r="F64" i="15"/>
  <c r="C27" i="15"/>
  <c r="M7" i="15"/>
  <c r="J6" i="15"/>
  <c r="J18" i="15"/>
  <c r="F50" i="15"/>
  <c r="F51" i="15"/>
  <c r="Q71" i="15"/>
  <c r="F65" i="15"/>
  <c r="E3" i="6"/>
  <c r="M18" i="9"/>
  <c r="B118" i="9"/>
  <c r="B14" i="74"/>
  <c r="B1" i="74"/>
  <c r="C7" i="74"/>
  <c r="AY6" i="3"/>
  <c r="J65" i="40"/>
  <c r="K63" i="40"/>
  <c r="W7" i="33"/>
  <c r="AC7" i="33"/>
  <c r="V48" i="33"/>
  <c r="I48" i="33"/>
  <c r="AB7" i="35"/>
  <c r="T38" i="35"/>
  <c r="G38" i="35"/>
  <c r="U7" i="35"/>
  <c r="I40" i="36"/>
  <c r="J40" i="36"/>
  <c r="I46" i="37"/>
  <c r="J46" i="37"/>
  <c r="K21" i="6"/>
  <c r="M21" i="6"/>
  <c r="I21" i="6"/>
  <c r="S21" i="6"/>
  <c r="K22" i="6"/>
  <c r="M22" i="6"/>
  <c r="I22" i="6"/>
  <c r="S22" i="6"/>
  <c r="K23" i="6"/>
  <c r="M23" i="6"/>
  <c r="I23" i="6"/>
  <c r="S23" i="6"/>
  <c r="K19"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AA34" i="34"/>
  <c r="S34" i="34"/>
  <c r="H6" i="3"/>
  <c r="D5" i="71"/>
  <c r="AB7" i="33"/>
  <c r="T48" i="33"/>
  <c r="G48" i="33"/>
  <c r="U7" i="33"/>
  <c r="AC7" i="35"/>
  <c r="V38" i="35"/>
  <c r="I38" i="35"/>
  <c r="W7" i="35"/>
  <c r="R49" i="21"/>
  <c r="E48" i="21"/>
  <c r="T19" i="71"/>
  <c r="D19" i="71"/>
  <c r="M20" i="43"/>
  <c r="C19" i="43"/>
  <c r="C8" i="74"/>
  <c r="G52" i="21"/>
  <c r="H52" i="21"/>
  <c r="G53" i="21"/>
  <c r="H53" i="21"/>
  <c r="E70" i="39"/>
  <c r="F68" i="39"/>
  <c r="K24" i="6"/>
  <c r="M24" i="6"/>
  <c r="I24" i="6"/>
  <c r="S24" i="6"/>
  <c r="G40" i="36"/>
  <c r="H40" i="36"/>
  <c r="G41" i="36"/>
  <c r="H41" i="36"/>
  <c r="I52" i="21"/>
  <c r="J52" i="21"/>
  <c r="I53" i="21"/>
  <c r="J53" i="21"/>
  <c r="R43" i="37"/>
  <c r="E42" i="37"/>
  <c r="I47" i="37"/>
  <c r="J47" i="37"/>
  <c r="G7" i="79"/>
  <c r="F7" i="79"/>
  <c r="T27" i="71"/>
  <c r="D27" i="71"/>
  <c r="M19" i="43"/>
  <c r="U34" i="79"/>
  <c r="AB34" i="34"/>
  <c r="T49" i="34"/>
  <c r="G49" i="34"/>
  <c r="U34" i="34"/>
  <c r="F22" i="68"/>
  <c r="C26" i="68"/>
  <c r="D22" i="68"/>
  <c r="F25" i="12"/>
  <c r="C26" i="12"/>
  <c r="D25" i="12"/>
  <c r="AB37" i="79"/>
  <c r="U37" i="79"/>
  <c r="AC37" i="79"/>
  <c r="W37" i="79"/>
  <c r="AA37" i="34"/>
  <c r="R49" i="34"/>
  <c r="E49" i="34"/>
  <c r="E53" i="34"/>
  <c r="F53" i="34"/>
  <c r="S37" i="34"/>
  <c r="AC37" i="34"/>
  <c r="V49"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67"/>
  <c r="C14" i="67"/>
  <c r="C17" i="67"/>
  <c r="C16" i="15"/>
  <c r="C10" i="67"/>
  <c r="J5" i="67"/>
  <c r="J24" i="67"/>
  <c r="L46" i="15"/>
  <c r="J26" i="67"/>
  <c r="C24" i="68"/>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5" i="67"/>
  <c r="C38" i="67"/>
  <c r="C44" i="69"/>
  <c r="D41" i="69"/>
  <c r="C23" i="11"/>
  <c r="C44" i="68"/>
  <c r="D41" i="68"/>
  <c r="C49" i="15"/>
  <c r="C48" i="15"/>
  <c r="C66" i="15"/>
  <c r="C49" i="67"/>
  <c r="C48" i="67"/>
  <c r="C15" i="67"/>
  <c r="C18" i="67"/>
  <c r="G53" i="34"/>
  <c r="H53" i="34"/>
  <c r="E54" i="34"/>
  <c r="F54" i="34"/>
  <c r="C24" i="11"/>
  <c r="I7" i="79"/>
  <c r="J7" i="79"/>
  <c r="H7" i="79"/>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F1" i="67"/>
  <c r="Q52" i="67"/>
  <c r="AA7" i="79"/>
  <c r="E49" i="79"/>
  <c r="S7" i="79"/>
  <c r="E47" i="37"/>
  <c r="F47" i="37"/>
  <c r="E46" i="37"/>
  <c r="F46" i="37"/>
  <c r="E52" i="21"/>
  <c r="F52" i="21"/>
  <c r="E53" i="21"/>
  <c r="F53" i="21"/>
  <c r="C36" i="36"/>
  <c r="C37" i="36"/>
  <c r="B2" i="36"/>
  <c r="B3" i="36"/>
  <c r="E43" i="35"/>
  <c r="F43" i="35"/>
  <c r="E42" i="35"/>
  <c r="F42" i="35"/>
  <c r="E48" i="33"/>
  <c r="R49" i="33"/>
  <c r="S6" i="1"/>
  <c r="M19" i="6"/>
  <c r="K27" i="6"/>
  <c r="I52" i="33"/>
  <c r="J52" i="33"/>
  <c r="I53" i="33"/>
  <c r="J53" i="33"/>
  <c r="K65" i="40"/>
  <c r="L63" i="40"/>
  <c r="Q61" i="15"/>
  <c r="Q74" i="15"/>
  <c r="F1" i="15"/>
  <c r="Q52" i="15"/>
  <c r="Q60" i="67"/>
  <c r="Q73" i="67"/>
  <c r="I49" i="34"/>
  <c r="R50" i="34"/>
  <c r="C60" i="15"/>
  <c r="C38" i="11"/>
  <c r="C25" i="11"/>
  <c r="D10" i="11"/>
  <c r="C10" i="11"/>
  <c r="D20" i="12"/>
  <c r="C20" i="12"/>
  <c r="C18" i="12"/>
  <c r="D10" i="69"/>
  <c r="D19" i="6"/>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AE6" i="1"/>
  <c r="F41" i="67"/>
  <c r="D10" i="68"/>
  <c r="C17" i="15"/>
  <c r="F69" i="67"/>
  <c r="J29" i="67"/>
  <c r="AQ7" i="1"/>
  <c r="AR7" i="1"/>
  <c r="T7" i="1"/>
  <c r="C22" i="11"/>
  <c r="C31" i="11"/>
  <c r="C19" i="67"/>
  <c r="C20" i="67"/>
  <c r="C66" i="67"/>
  <c r="C60" i="67"/>
  <c r="C10" i="68"/>
  <c r="D19" i="68"/>
  <c r="D37" i="68"/>
  <c r="C37" i="68"/>
  <c r="L65" i="40"/>
  <c r="M63" i="40"/>
  <c r="AQ6" i="1"/>
  <c r="T6" i="1"/>
  <c r="S16" i="1"/>
  <c r="AR6" i="1"/>
  <c r="E6" i="70"/>
  <c r="E2" i="70"/>
  <c r="E53" i="33"/>
  <c r="F53" i="33"/>
  <c r="E52" i="33"/>
  <c r="F52" i="33"/>
  <c r="G70" i="39"/>
  <c r="H68" i="39"/>
  <c r="AC7" i="79"/>
  <c r="I49" i="79"/>
  <c r="W7" i="79"/>
  <c r="I19" i="6"/>
  <c r="L18" i="81"/>
  <c r="M27" i="6"/>
  <c r="C49" i="33"/>
  <c r="B2" i="33"/>
  <c r="B3" i="33"/>
  <c r="C48" i="33"/>
  <c r="E53" i="79"/>
  <c r="F53" i="79"/>
  <c r="J26" i="15"/>
  <c r="J24" i="15"/>
  <c r="AB7" i="79"/>
  <c r="U7" i="79"/>
  <c r="C49" i="34"/>
  <c r="C50"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23" i="67"/>
  <c r="C26" i="67"/>
  <c r="C18" i="15"/>
  <c r="C15" i="15"/>
  <c r="C38" i="68"/>
  <c r="C35" i="68"/>
  <c r="G49" i="79"/>
  <c r="I27" i="6"/>
  <c r="H19" i="6"/>
  <c r="L19" i="81"/>
  <c r="S19" i="6"/>
  <c r="S27" i="6"/>
  <c r="L18" i="9"/>
  <c r="I54" i="79"/>
  <c r="J54" i="79"/>
  <c r="I53" i="79"/>
  <c r="J53" i="79"/>
  <c r="T16" i="1"/>
  <c r="M65" i="40"/>
  <c r="N63" i="40"/>
  <c r="H70" i="39"/>
  <c r="I68" i="39"/>
  <c r="B2" i="34"/>
  <c r="B3" i="34"/>
  <c r="C42" i="11"/>
  <c r="C19" i="69"/>
  <c r="C24" i="69"/>
  <c r="D37" i="69"/>
  <c r="C37" i="69"/>
  <c r="C33" i="69"/>
  <c r="I5" i="6"/>
  <c r="I6" i="6"/>
  <c r="C23" i="69"/>
  <c r="D7" i="74"/>
  <c r="D8" i="74"/>
  <c r="C22" i="12"/>
  <c r="C30" i="12"/>
  <c r="C28" i="12"/>
  <c r="C46" i="11"/>
  <c r="C45" i="11"/>
  <c r="C43" i="11"/>
  <c r="C27" i="43"/>
  <c r="C26" i="43"/>
  <c r="D19" i="81"/>
  <c r="D20" i="81"/>
  <c r="E6" i="76"/>
  <c r="D102" i="81"/>
  <c r="D21" i="81"/>
  <c r="D103" i="81"/>
  <c r="C19" i="15"/>
  <c r="C20" i="15"/>
  <c r="C23" i="15"/>
  <c r="C29" i="67"/>
  <c r="C57" i="67"/>
  <c r="C33" i="68"/>
  <c r="C39" i="68"/>
  <c r="C43" i="68"/>
  <c r="I70" i="39"/>
  <c r="J68" i="39"/>
  <c r="O63" i="40"/>
  <c r="O65" i="40"/>
  <c r="N65" i="40"/>
  <c r="L19" i="9"/>
  <c r="R19" i="6"/>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C33" i="67"/>
  <c r="Q49" i="67"/>
  <c r="J59" i="67"/>
  <c r="J60" i="67"/>
  <c r="C42" i="68"/>
  <c r="C41" i="68"/>
  <c r="C46" i="68"/>
  <c r="C45" i="68"/>
  <c r="C36" i="67"/>
  <c r="C13" i="67"/>
  <c r="C64" i="67"/>
  <c r="C61" i="67"/>
  <c r="C26" i="15"/>
  <c r="C29" i="15"/>
  <c r="AB7" i="40"/>
  <c r="T42" i="40"/>
  <c r="G42" i="40"/>
  <c r="U7" i="40"/>
  <c r="AC7" i="40"/>
  <c r="V42" i="40"/>
  <c r="I42" i="40"/>
  <c r="W7" i="40"/>
  <c r="R6" i="1"/>
  <c r="R27" i="6"/>
  <c r="AA7" i="40"/>
  <c r="R42" i="40"/>
  <c r="S7" i="40"/>
  <c r="B2" i="79"/>
  <c r="B3" i="79"/>
  <c r="J70" i="39"/>
  <c r="K68" i="39"/>
  <c r="C28" i="69"/>
  <c r="C27" i="69"/>
  <c r="C25" i="69"/>
  <c r="C22" i="69"/>
  <c r="C52" i="11"/>
  <c r="B2" i="11"/>
  <c r="B3" i="11"/>
  <c r="C46" i="69"/>
  <c r="C45" i="69"/>
  <c r="C43" i="69"/>
  <c r="C41" i="69"/>
  <c r="B2" i="76"/>
  <c r="B3" i="76"/>
  <c r="C6" i="68"/>
  <c r="B3" i="43"/>
  <c r="F35" i="67"/>
  <c r="M21" i="67"/>
  <c r="M21" i="15"/>
  <c r="F35" i="15"/>
  <c r="F6" i="15"/>
  <c r="J20" i="67"/>
  <c r="F63" i="67"/>
  <c r="C62" i="67"/>
  <c r="C34" i="67"/>
  <c r="C31" i="67"/>
  <c r="C59" i="67"/>
  <c r="J17" i="67"/>
  <c r="J13" i="67"/>
  <c r="J23" i="67"/>
  <c r="Q48" i="67"/>
  <c r="C49" i="68"/>
  <c r="C51" i="68"/>
  <c r="C37" i="67"/>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C30" i="67"/>
  <c r="C39" i="67"/>
  <c r="C40"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L46" i="67"/>
  <c r="D2"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B3"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20" i="81"/>
  <c r="G20" i="81"/>
  <c r="R24" i="31"/>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7" i="31"/>
  <c r="L10" i="77"/>
  <c r="L7" i="77"/>
  <c r="R25" i="31"/>
  <c r="L8" i="77"/>
  <c r="R26" i="31"/>
  <c r="L9" i="77"/>
  <c r="S27" i="31"/>
  <c r="M10" i="77"/>
  <c r="S26" i="31"/>
  <c r="S25" i="31"/>
  <c r="S24" i="31"/>
  <c r="M7" i="77"/>
  <c r="S22" i="31"/>
  <c r="R22" i="31"/>
  <c r="B21" i="31"/>
  <c r="M9" i="77"/>
  <c r="M8" i="77"/>
  <c r="F17" i="74"/>
  <c r="E17" i="74"/>
  <c r="D20" i="9"/>
  <c r="C20" i="9"/>
  <c r="D103" i="9"/>
  <c r="M11" i="77"/>
  <c r="L11" i="77"/>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<sst xmlns="http://schemas.openxmlformats.org/spreadsheetml/2006/main" count="8179" uniqueCount="3193">
  <si>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</si>
  <si>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</si>
  <si>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</si>
  <si>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</si>
  <si>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</si>
  <si>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</si>
  <si>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</si>
  <si>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</si>
  <si>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</si>
  <si>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</si>
  <si>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</si>
  <si>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</si>
  <si>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</si>
  <si>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</si>
  <si>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</si>
  <si>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</si>
  <si>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</si>
  <si>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</si>
  <si>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</si>
  <si>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</si>
  <si>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</si>
  <si>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</si>
  <si>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</si>
  <si>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</si>
  <si>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</si>
  <si>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</si>
  <si>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</si>
  <si>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</si>
  <si>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</si>
  <si>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</si>
  <si>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</si>
  <si>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</si>
  <si>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</si>
  <si>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</si>
  <si>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</si>
  <si>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</si>
  <si>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</si>
  <si>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</si>
  <si>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</si>
  <si>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</si>
  <si>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</si>
  <si>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</si>
  <si>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</si>
  <si>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</si>
  <si>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</si>
  <si>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</si>
  <si>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</si>
  <si>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</si>
  <si>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</si>
  <si>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</si>
  <si>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</si>
  <si>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</si>
  <si>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</si>
  <si>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</si>
  <si>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</si>
  <si>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</si>
  <si>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</si>
  <si>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</si>
  <si>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</si>
  <si>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</si>
  <si>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</si>
  <si>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</si>
  <si>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</si>
  <si>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</si>
  <si>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</si>
  <si>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</si>
  <si>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</si>
  <si>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</si>
  <si>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</si>
  <si>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</si>
  <si>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</si>
  <si>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</si>
  <si>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</si>
  <si>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</si>
  <si>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</si>
  <si>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</si>
  <si>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</si>
  <si>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</si>
  <si>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</si>
  <si>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</si>
  <si>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</si>
  <si>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</si>
  <si>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</si>
  <si>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</si>
  <si>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</si>
  <si>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</si>
  <si>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</si>
  <si>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</si>
  <si>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</si>
  <si>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</si>
  <si>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</si>
  <si>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</si>
  <si>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</si>
  <si>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</si>
  <si>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</si>
  <si>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</si>
  <si>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</si>
  <si>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</si>
  <si>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</si>
  <si>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</si>
  <si>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</si>
  <si>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</si>
  <si>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</si>
  <si>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</si>
  <si>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</si>
  <si>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</si>
  <si>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</si>
  <si>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</si>
  <si>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</si>
  <si>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</si>
  <si>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</si>
  <si>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</si>
  <si>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</si>
  <si>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</si>
  <si>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</si>
  <si>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</si>
  <si>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</si>
  <si>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</si>
  <si>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</si>
  <si>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</si>
  <si>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</si>
  <si>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</si>
  <si>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</si>
  <si>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</si>
  <si>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</si>
  <si>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</si>
  <si>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</si>
  <si>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</si>
  <si>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</si>
  <si>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</si>
  <si>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</si>
  <si>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</si>
  <si>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</si>
  <si>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</si>
  <si>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</si>
  <si>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</si>
  <si>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</si>
  <si>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</si>
  <si>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</si>
  <si>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</si>
  <si>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</si>
  <si>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</si>
  <si>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</si>
  <si>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</si>
  <si>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</si>
  <si>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</si>
  <si>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</si>
  <si>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</si>
  <si>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</si>
  <si>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</si>
  <si>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</si>
  <si>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</si>
  <si>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</si>
  <si>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</si>
  <si>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</si>
  <si>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</si>
  <si>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</si>
  <si>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</si>
  <si>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</si>
  <si>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</si>
  <si>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</si>
  <si>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</si>
  <si>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</si>
  <si>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</si>
  <si>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</si>
  <si>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</si>
  <si>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</si>
  <si>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</si>
  <si>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</si>
  <si>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</si>
  <si>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</si>
  <si>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</si>
  <si>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</si>
  <si>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</si>
  <si>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</si>
  <si>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</si>
  <si>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</si>
  <si>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</si>
  <si>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</si>
  <si>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</si>
  <si>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</si>
  <si>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</si>
  <si>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</si>
  <si>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</si>
  <si>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</si>
  <si>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</si>
  <si>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</si>
  <si>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</si>
  <si>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</si>
  <si>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</si>
  <si>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</si>
  <si>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</si>
  <si>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</si>
  <si>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</si>
  <si>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</si>
  <si>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</si>
  <si>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</si>
  <si>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</si>
  <si>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</si>
  <si>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</si>
  <si>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</si>
  <si>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</si>
  <si>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</si>
  <si>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</si>
  <si>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</si>
  <si>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</si>
  <si>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</si>
  <si>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</si>
  <si>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</si>
  <si>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</si>
  <si>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</si>
  <si>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</si>
  <si>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</si>
  <si>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</si>
  <si>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</si>
  <si>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</si>
  <si>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</si>
  <si>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</si>
  <si>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</si>
  <si>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</si>
  <si>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</si>
  <si>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</si>
  <si>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</si>
  <si>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</si>
  <si>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</si>
  <si>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</si>
  <si>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</si>
  <si>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</si>
  <si>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</si>
  <si>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</si>
  <si>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</si>
  <si>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</si>
  <si>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</si>
  <si>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</si>
  <si>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</si>
  <si>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</si>
  <si>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</si>
  <si>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</si>
  <si>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</si>
  <si>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</si>
  <si>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</si>
  <si>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</si>
  <si>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</si>
  <si>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</si>
  <si>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</si>
  <si>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</si>
  <si>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</si>
  <si>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</si>
  <si>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</si>
  <si>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</si>
  <si>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</si>
  <si>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</si>
  <si>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</si>
  <si>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</si>
  <si>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</si>
  <si>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</si>
  <si>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</si>
  <si>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</si>
  <si>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</si>
  <si>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</si>
  <si>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</si>
  <si>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</si>
  <si>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</si>
  <si>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</si>
  <si>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</si>
  <si>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</si>
  <si>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</si>
  <si>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</si>
  <si>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</si>
  <si>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</si>
  <si>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</si>
  <si>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</si>
  <si>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</si>
  <si>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</si>
  <si>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</si>
  <si>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</si>
  <si>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</si>
  <si>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</si>
  <si>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</si>
  <si>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</si>
  <si>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</si>
  <si>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</si>
  <si>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</si>
  <si>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</si>
  <si>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</si>
  <si>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</si>
  <si>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</si>
  <si>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</si>
  <si>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</si>
  <si>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</si>
  <si>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</si>
  <si>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</si>
  <si>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</si>
  <si>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</si>
  <si>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</si>
  <si>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</si>
  <si>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</si>
  <si>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</si>
  <si>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</si>
  <si>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</si>
  <si>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</si>
  <si>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</si>
  <si>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</si>
  <si>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</si>
  <si>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</si>
  <si>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</si>
  <si>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</si>
  <si>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</si>
  <si>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</si>
  <si>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</si>
  <si>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</si>
  <si>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</si>
  <si>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</si>
  <si>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</si>
  <si>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</si>
  <si>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</si>
  <si>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</si>
  <si>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</si>
  <si>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</si>
  <si>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</si>
  <si>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</si>
  <si>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</si>
  <si>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</si>
  <si>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</si>
  <si>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</si>
  <si>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</si>
  <si>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</si>
  <si>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</si>
  <si>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</si>
  <si>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</si>
  <si>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</si>
  <si>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</si>
  <si>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</si>
  <si>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</si>
  <si>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</si>
  <si>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</si>
  <si>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</si>
  <si>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</si>
  <si>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</si>
  <si>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</si>
  <si>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</si>
  <si>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</si>
  <si>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</si>
  <si>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</si>
  <si>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</si>
  <si>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</si>
  <si>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</si>
  <si>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</si>
  <si>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</si>
  <si>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</si>
  <si>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</si>
  <si>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</si>
  <si>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</si>
  <si>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</si>
  <si>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</si>
  <si>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</si>
  <si>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</si>
  <si>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</si>
  <si>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</si>
  <si>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</si>
  <si>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</si>
  <si>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</si>
  <si>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</si>
  <si>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</si>
  <si>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</si>
  <si>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</si>
  <si>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</si>
  <si>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</si>
  <si>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</si>
  <si>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</si>
  <si>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</si>
  <si>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</si>
  <si>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</si>
  <si>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</si>
  <si>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</si>
  <si>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</si>
  <si>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</si>
  <si>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</si>
  <si>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</si>
  <si>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</si>
  <si>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</si>
  <si>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</si>
  <si>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</si>
  <si>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</si>
  <si>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</si>
  <si>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</si>
  <si>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</si>
  <si>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</si>
  <si>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</si>
  <si>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</si>
  <si>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</si>
  <si>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</si>
  <si>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</si>
  <si>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</si>
  <si>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</si>
  <si>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</si>
  <si>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</si>
  <si>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</si>
  <si>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</si>
  <si>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</si>
  <si>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</si>
  <si>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</si>
  <si>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</si>
  <si>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</si>
  <si>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</si>
  <si>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</si>
  <si>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</si>
  <si>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</si>
  <si>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</si>
  <si>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</si>
  <si>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</si>
  <si>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</si>
  <si>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</si>
  <si>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</si>
  <si>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</si>
  <si>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</si>
  <si>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</si>
  <si>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</si>
  <si>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</si>
  <si>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</si>
  <si>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</si>
  <si>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</si>
  <si>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</si>
  <si>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</si>
  <si>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</si>
  <si>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</si>
  <si>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</si>
  <si>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</si>
  <si>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</si>
  <si>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</si>
  <si>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</si>
  <si>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</si>
  <si>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</si>
  <si>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</si>
  <si>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</si>
  <si>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</si>
  <si>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</si>
  <si>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</si>
  <si>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</si>
  <si>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</si>
  <si>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</si>
  <si>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</si>
  <si>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</si>
  <si>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</si>
  <si>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</si>
  <si>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</si>
  <si>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</si>
  <si>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</si>
  <si>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</si>
  <si>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</si>
  <si>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</si>
  <si>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</si>
  <si>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</si>
  <si>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</si>
  <si>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</si>
  <si>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</si>
  <si>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</si>
  <si>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</si>
  <si>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</si>
  <si>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</si>
  <si>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</si>
  <si>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</si>
  <si>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</si>
  <si>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</si>
  <si>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</si>
  <si>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</si>
  <si>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</si>
  <si>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</si>
  <si>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</si>
  <si>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</si>
  <si>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</si>
  <si>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</si>
  <si>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</si>
  <si>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</si>
  <si>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</si>
  <si>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</si>
  <si>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</si>
  <si>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</si>
  <si>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</si>
  <si>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</si>
  <si>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</si>
  <si>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</si>
  <si>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</si>
  <si>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</si>
  <si>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</si>
  <si>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</si>
  <si>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</si>
  <si>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</si>
  <si>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</si>
  <si>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</si>
  <si>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</si>
  <si>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</si>
  <si>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</si>
  <si>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</si>
  <si>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</si>
  <si>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</si>
  <si>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</si>
  <si>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</si>
  <si>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</si>
  <si>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</si>
  <si>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</si>
  <si>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</si>
  <si>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</si>
  <si>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</si>
  <si>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</si>
  <si>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</si>
  <si>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</si>
  <si>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</si>
  <si>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</si>
  <si>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</si>
  <si>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</si>
  <si>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</si>
  <si>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</si>
  <si>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</si>
  <si>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</si>
  <si>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</si>
  <si>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</si>
  <si>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</si>
  <si>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</si>
  <si>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</si>
  <si>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</si>
  <si>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</si>
  <si>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</si>
  <si>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</si>
  <si>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</si>
  <si>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</si>
  <si>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</si>
  <si>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</si>
  <si>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</si>
  <si>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</si>
  <si>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</si>
  <si>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</si>
  <si>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</si>
  <si>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</si>
  <si>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</si>
  <si>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</si>
  <si>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</si>
  <si>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</si>
  <si>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</si>
  <si>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</si>
  <si>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</si>
  <si>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</si>
  <si>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</si>
  <si>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</si>
  <si>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</si>
  <si>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</si>
  <si>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</si>
  <si>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</si>
  <si>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</si>
  <si>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</si>
  <si>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</si>
  <si>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</si>
  <si>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</si>
  <si>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</si>
  <si>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</si>
  <si>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</si>
  <si>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</si>
  <si>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</si>
  <si>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</si>
  <si>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</si>
  <si>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</si>
  <si>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</si>
  <si>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</si>
  <si>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</si>
  <si>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</si>
  <si>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</si>
  <si>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</si>
  <si>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</si>
  <si>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</si>
  <si>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</si>
  <si>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</si>
  <si>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</si>
  <si>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</si>
  <si>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</si>
  <si>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</si>
  <si>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</si>
  <si>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</si>
  <si>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</si>
  <si>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</si>
  <si>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</si>
  <si>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</si>
  <si>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</si>
  <si>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</si>
  <si>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</si>
  <si>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</si>
  <si>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</si>
  <si>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</si>
  <si>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</si>
  <si>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</si>
  <si>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</si>
  <si>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</si>
  <si>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</si>
  <si>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</si>
  <si>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</si>
  <si>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</si>
  <si>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</si>
  <si>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</si>
  <si>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</si>
  <si>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</si>
  <si>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</si>
  <si>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</si>
  <si>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</si>
  <si>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</si>
  <si>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</si>
  <si>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</si>
  <si>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</si>
  <si>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</si>
  <si>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</si>
  <si>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</si>
  <si>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</si>
  <si>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</si>
  <si>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</si>
  <si>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</si>
  <si>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</si>
  <si>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</si>
  <si>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</si>
  <si>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</si>
  <si>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</si>
  <si>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</si>
  <si>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</si>
  <si>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</si>
  <si>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</si>
  <si>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</si>
  <si>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</si>
  <si>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</si>
  <si>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</si>
  <si>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</si>
  <si>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</si>
  <si>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</si>
  <si>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</si>
  <si>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</si>
  <si>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</si>
  <si>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</si>
  <si>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</si>
  <si>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</si>
  <si>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</si>
  <si>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</si>
  <si>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</si>
  <si>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</si>
  <si>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</si>
  <si>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</si>
  <si>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</si>
  <si>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</si>
  <si>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</si>
  <si>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</si>
  <si>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</si>
  <si>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</si>
  <si>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</si>
  <si>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</si>
  <si>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</si>
  <si>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</si>
  <si>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</si>
  <si>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</si>
  <si>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</si>
  <si>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</si>
  <si>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</si>
  <si>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</si>
  <si>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</si>
  <si>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</si>
  <si>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</si>
  <si>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</si>
  <si>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</si>
  <si>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</si>
  <si>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</si>
  <si>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</si>
  <si>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</si>
  <si>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</si>
  <si>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</si>
  <si>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</si>
  <si>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</si>
  <si>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</si>
  <si>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</si>
  <si>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</si>
  <si>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</si>
  <si>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</si>
  <si>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</si>
  <si>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</si>
  <si>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</si>
  <si>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</si>
  <si>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</si>
  <si>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</si>
  <si>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</si>
  <si>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</si>
  <si>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</si>
  <si>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</si>
  <si>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</si>
  <si>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</si>
  <si>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</si>
  <si>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</si>
  <si>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</si>
  <si>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</si>
  <si>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</si>
  <si>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</si>
  <si>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</si>
  <si>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</si>
  <si>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</si>
  <si>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</si>
  <si>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</si>
  <si>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</si>
  <si>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</si>
  <si>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</si>
  <si>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</si>
  <si>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</si>
  <si>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</si>
  <si>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</si>
  <si>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</si>
  <si>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</si>
  <si>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</si>
  <si>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</si>
  <si>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</si>
  <si>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</si>
  <si>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</si>
  <si>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</si>
  <si>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</si>
  <si>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</si>
  <si>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</si>
  <si>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</si>
  <si>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</si>
  <si>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</si>
  <si>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</si>
  <si>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</si>
  <si>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</si>
  <si>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</si>
  <si>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</si>
  <si>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</si>
  <si>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</si>
  <si>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</si>
  <si>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</si>
  <si>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</si>
  <si>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</si>
  <si>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</si>
  <si>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</si>
  <si>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</si>
  <si>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</si>
  <si>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</si>
  <si>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</si>
  <si>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</si>
  <si>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</si>
  <si>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</si>
  <si>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</si>
  <si>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</si>
  <si>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</si>
  <si>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</si>
  <si>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</si>
  <si>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</si>
  <si>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</si>
  <si>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</si>
  <si>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</si>
  <si>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</si>
  <si>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</si>
  <si>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</si>
  <si>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</si>
  <si>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</si>
  <si>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</si>
  <si>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</si>
  <si>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</si>
  <si>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</si>
  <si>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</si>
  <si>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</si>
  <si>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</si>
  <si>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</si>
  <si>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</si>
  <si>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</si>
  <si>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</si>
  <si>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</si>
  <si>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</si>
  <si>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</si>
  <si>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</si>
  <si>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</si>
  <si>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</si>
  <si>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</si>
  <si>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</si>
  <si>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</si>
  <si>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</si>
  <si>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</si>
  <si>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</si>
  <si>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</si>
  <si>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</si>
  <si>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</si>
  <si>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</si>
  <si>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</si>
  <si>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</si>
  <si>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</si>
  <si>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</si>
  <si>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</si>
  <si>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</si>
  <si>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</si>
  <si>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</si>
  <si>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</si>
  <si>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</si>
  <si>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</si>
  <si>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</si>
  <si>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</si>
  <si>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</si>
  <si>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</si>
  <si>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</si>
  <si>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</si>
  <si>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</si>
  <si>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</si>
  <si>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</si>
  <si>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</si>
  <si>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</si>
  <si>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</si>
  <si>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</si>
  <si>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</si>
  <si>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</si>
  <si>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</si>
  <si>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</si>
  <si>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</si>
  <si>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</si>
  <si>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</si>
  <si>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</si>
  <si>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</si>
  <si>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</si>
  <si>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</si>
  <si>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</si>
  <si>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</si>
  <si>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</si>
  <si>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</si>
  <si>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</si>
  <si>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</si>
  <si>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</si>
  <si>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</si>
  <si>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</si>
  <si>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</si>
  <si>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</si>
  <si>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</si>
  <si>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</si>
  <si>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</si>
  <si>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</si>
  <si>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</si>
  <si>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</si>
  <si>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</si>
  <si>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</si>
  <si>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</si>
  <si>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</si>
  <si>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</si>
  <si>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</si>
  <si>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</si>
  <si>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</si>
  <si>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</si>
  <si>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</si>
  <si>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</si>
  <si>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</si>
  <si>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</si>
  <si>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</si>
  <si>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</si>
  <si>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</si>
  <si>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</si>
  <si>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</si>
  <si>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</si>
  <si>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</si>
  <si>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</si>
  <si>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</si>
  <si>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</si>
  <si>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</si>
  <si>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</si>
  <si>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</si>
  <si>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</si>
  <si>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</si>
  <si>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</si>
  <si>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</si>
  <si>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</si>
  <si>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</si>
  <si>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</si>
  <si>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</si>
  <si>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</si>
  <si>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</si>
  <si>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</si>
  <si>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</si>
  <si>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</si>
  <si>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</si>
  <si>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</si>
  <si>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</si>
  <si>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</si>
  <si>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</si>
  <si>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</si>
  <si>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</si>
  <si>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</si>
  <si>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</si>
  <si>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</si>
  <si>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</si>
  <si>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</si>
  <si>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</si>
  <si>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</si>
  <si>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</si>
  <si>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</si>
  <si>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</si>
  <si>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</si>
  <si>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</si>
  <si>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</si>
  <si>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</si>
  <si>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</si>
  <si>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</si>
  <si>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</si>
  <si>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</si>
  <si>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</si>
  <si>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</si>
  <si>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</si>
  <si>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</si>
  <si>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</si>
  <si>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</si>
  <si>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</si>
  <si>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</si>
  <si>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</si>
  <si>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</si>
  <si>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</si>
  <si>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</si>
  <si>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</si>
  <si>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</si>
  <si>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</si>
  <si>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</si>
  <si>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</si>
  <si>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</si>
  <si>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</si>
  <si>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</si>
  <si>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</si>
  <si>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</si>
  <si>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</si>
  <si>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</si>
  <si>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</si>
  <si>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</si>
  <si>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</si>
  <si>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</si>
  <si>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</si>
  <si>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</si>
  <si>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</si>
  <si>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</si>
  <si>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</si>
  <si>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</si>
  <si>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</si>
  <si>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</si>
  <si>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</si>
  <si>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</si>
  <si>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</si>
  <si>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</si>
  <si>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</si>
  <si>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</si>
  <si>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</si>
  <si>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</si>
  <si>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</si>
  <si>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</si>
  <si>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</si>
  <si>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</si>
  <si>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</si>
  <si>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</si>
  <si>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</si>
  <si>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</si>
  <si>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</si>
  <si>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</si>
  <si>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</si>
  <si>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</si>
  <si>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</si>
  <si>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</si>
  <si>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</si>
  <si>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</si>
  <si>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</si>
  <si>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</si>
  <si>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</si>
  <si>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</si>
  <si>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</si>
  <si>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</si>
  <si>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</si>
  <si>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</si>
  <si>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</si>
  <si>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</si>
  <si>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</si>
  <si>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</si>
  <si>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</si>
  <si>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</si>
  <si>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</si>
  <si>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</si>
  <si>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</si>
  <si>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</si>
  <si>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</si>
  <si>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</si>
  <si>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</si>
  <si>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</si>
  <si>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</si>
  <si>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</si>
  <si>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</si>
  <si>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</si>
  <si>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</si>
  <si>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</si>
  <si>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</si>
  <si>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</si>
  <si>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</si>
  <si>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</si>
  <si>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</si>
  <si>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</si>
  <si>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</si>
  <si>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</si>
  <si>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</si>
  <si>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</si>
  <si>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</si>
  <si>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</si>
  <si>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</si>
  <si>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</si>
  <si>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</si>
  <si>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</si>
  <si>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</si>
  <si>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</si>
  <si>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</si>
  <si>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</si>
  <si>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</si>
  <si>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</si>
  <si>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</si>
  <si>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</si>
  <si>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</si>
  <si>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</si>
  <si>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</si>
  <si>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</si>
  <si>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</si>
  <si>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</si>
  <si>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</si>
  <si>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</si>
  <si>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</si>
  <si>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</si>
  <si>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</si>
  <si>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</si>
  <si>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</si>
  <si>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</si>
  <si>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</si>
  <si>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</si>
  <si>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</si>
  <si>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</si>
  <si>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</si>
  <si>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</si>
  <si>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</si>
  <si>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</si>
  <si>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</si>
  <si>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</si>
  <si>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</si>
  <si>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</si>
  <si>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</si>
  <si>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</si>
  <si>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</si>
  <si>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</si>
  <si>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</si>
  <si>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</si>
  <si>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</si>
  <si>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</si>
  <si>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</si>
  <si>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</si>
  <si>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</si>
  <si>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</si>
  <si>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</si>
  <si>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</si>
  <si>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</si>
  <si>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</si>
  <si>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</si>
  <si>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</si>
  <si>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</si>
  <si>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</si>
  <si>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</si>
  <si>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</si>
  <si>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</si>
  <si>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</si>
  <si>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</si>
  <si>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</si>
  <si>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</si>
  <si>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</si>
  <si>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</si>
  <si>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</si>
  <si>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</si>
  <si>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</si>
  <si>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</si>
  <si>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</si>
  <si>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</si>
  <si>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</si>
  <si>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</si>
  <si>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</si>
  <si>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</si>
  <si>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</si>
  <si>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</si>
  <si>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</si>
  <si>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</si>
  <si>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</si>
  <si>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</si>
  <si>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</si>
  <si>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</si>
  <si>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</si>
  <si>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</si>
  <si>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</si>
  <si>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</si>
  <si>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</si>
  <si>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</si>
  <si>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</si>
  <si>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</si>
  <si>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</si>
  <si>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</si>
  <si>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</si>
  <si>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</si>
  <si>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</si>
  <si>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</si>
  <si>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</si>
  <si>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</si>
  <si>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</si>
  <si>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</si>
  <si>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</si>
  <si>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</si>
  <si>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</si>
  <si>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</si>
  <si>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</si>
  <si>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</si>
  <si>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</si>
  <si>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</si>
  <si>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</si>
  <si>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</si>
  <si>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</si>
  <si>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</si>
  <si>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</si>
  <si>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</si>
  <si>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</si>
  <si>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</si>
  <si>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</si>
  <si>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</si>
  <si>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</si>
  <si>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</si>
  <si>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</si>
  <si>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</si>
  <si>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</si>
  <si>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</si>
  <si>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</si>
  <si>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</si>
  <si>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</si>
  <si>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</si>
  <si>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</si>
  <si>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</si>
  <si>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</si>
  <si>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</si>
  <si>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</si>
  <si>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</si>
  <si>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</si>
  <si>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</si>
  <si>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</si>
  <si>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</si>
  <si>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</si>
  <si>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</si>
  <si>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</si>
  <si>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</si>
  <si>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</si>
  <si>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</si>
  <si>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</si>
  <si>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</si>
  <si>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</si>
  <si>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</si>
  <si>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</si>
  <si>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</si>
  <si>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</si>
  <si>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</si>
  <si>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</si>
  <si>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</si>
  <si>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</si>
  <si>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</si>
  <si>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</si>
  <si>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</si>
  <si>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</si>
  <si>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</si>
  <si>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</si>
  <si>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</si>
  <si>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</si>
  <si>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</si>
  <si>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</si>
  <si>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</si>
  <si>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</si>
  <si>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</si>
  <si>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</si>
  <si>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</si>
  <si>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</si>
  <si>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</si>
  <si>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</si>
  <si>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</si>
  <si>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</si>
  <si>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</si>
  <si>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</si>
  <si>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</si>
  <si>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</si>
  <si>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</si>
  <si>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</si>
  <si>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</si>
  <si>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</si>
  <si>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</si>
  <si>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</si>
  <si>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</si>
  <si>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</si>
  <si>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</si>
  <si>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</si>
  <si>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</si>
  <si>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</si>
  <si>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</si>
  <si>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</si>
  <si>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</si>
  <si>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</si>
  <si>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</si>
  <si>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</si>
  <si>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</si>
  <si>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</si>
  <si>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</si>
  <si>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</si>
  <si>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</si>
  <si>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</si>
  <si>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</si>
  <si>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</si>
  <si>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</si>
  <si>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</si>
  <si>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</si>
  <si>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</si>
  <si>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</si>
  <si>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</si>
  <si>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</si>
  <si>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</si>
  <si>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</si>
  <si>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</si>
  <si>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</si>
  <si>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</si>
  <si>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</si>
  <si>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</si>
  <si>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</si>
  <si>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</si>
  <si>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</si>
  <si>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</si>
  <si>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</si>
  <si>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</si>
  <si>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</si>
  <si>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</si>
  <si>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</si>
  <si>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</si>
  <si>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</si>
  <si>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</si>
  <si>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</si>
  <si>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</si>
  <si>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</si>
  <si>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</si>
  <si>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</si>
  <si>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</si>
  <si>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</si>
  <si>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</si>
  <si>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</si>
  <si>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</si>
  <si>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</si>
  <si>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</si>
  <si>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</si>
  <si>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</si>
  <si>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</si>
  <si>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</si>
  <si>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</si>
  <si>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</si>
  <si>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</si>
  <si>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</si>
  <si>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</si>
  <si>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</si>
  <si>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</si>
  <si>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</si>
  <si>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</si>
  <si>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</si>
  <si>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</si>
  <si>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</si>
  <si>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</si>
  <si>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</si>
  <si>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</si>
  <si>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</si>
  <si>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</si>
  <si>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</si>
  <si>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</si>
  <si>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</si>
  <si>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</si>
  <si>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</si>
  <si>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</si>
  <si>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</si>
  <si>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</si>
  <si>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</si>
  <si>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</si>
  <si>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</si>
  <si>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</si>
  <si>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</si>
  <si>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</si>
  <si>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</si>
  <si>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</si>
  <si>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</si>
  <si>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</si>
  <si>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</si>
  <si>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</si>
  <si>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</si>
  <si>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</si>
  <si>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</si>
  <si>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</si>
  <si>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</si>
  <si>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</si>
  <si>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</si>
  <si>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</si>
  <si>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</si>
  <si>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</si>
  <si>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</si>
  <si>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</si>
  <si>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</si>
  <si>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</si>
  <si>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</si>
  <si>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</si>
  <si>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</si>
  <si>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</si>
  <si>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</si>
  <si>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</si>
  <si>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</si>
  <si>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</si>
  <si>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</si>
  <si>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</si>
  <si>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</si>
  <si>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</si>
  <si>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</si>
  <si>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</si>
  <si>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</si>
  <si>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</si>
  <si>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</si>
  <si>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</si>
  <si>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</si>
  <si>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</si>
  <si>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</si>
  <si>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</si>
  <si>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</si>
  <si>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</si>
  <si>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</si>
  <si>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</si>
  <si>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</si>
  <si>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</si>
  <si>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</si>
  <si>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</si>
  <si>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</si>
  <si>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</si>
  <si>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</si>
  <si>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</si>
  <si>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</si>
  <si>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</si>
  <si>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</si>
  <si>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</si>
  <si>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</si>
  <si>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</si>
  <si>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</si>
  <si>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</si>
  <si>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</si>
  <si>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</si>
  <si>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</si>
  <si>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</si>
  <si>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</si>
  <si>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</si>
  <si>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</si>
  <si>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</si>
  <si>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</si>
  <si>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</si>
  <si>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</si>
  <si>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</si>
  <si>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</si>
  <si>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</si>
  <si>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</si>
  <si>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</si>
  <si>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</si>
  <si>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</si>
  <si>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</si>
  <si>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</si>
  <si>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</si>
  <si>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</si>
  <si>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</si>
  <si>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</si>
  <si>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</si>
  <si>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</si>
  <si>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</si>
  <si>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</si>
  <si>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</si>
  <si>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</si>
  <si>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</si>
  <si>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</si>
  <si>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</si>
  <si>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</si>
  <si>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</si>
  <si>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</si>
  <si>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</si>
  <si>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</si>
  <si>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</si>
  <si>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</si>
  <si>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</si>
  <si>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</si>
  <si>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</si>
  <si>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</si>
  <si>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</si>
  <si>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</si>
  <si>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</si>
  <si>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</si>
  <si>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</si>
  <si>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</si>
  <si>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</si>
  <si>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</si>
  <si>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</si>
  <si>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</si>
  <si>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</si>
  <si>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</si>
  <si>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</si>
  <si>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</si>
  <si>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</si>
  <si>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</si>
  <si>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</si>
  <si>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</si>
  <si>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</si>
  <si>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</si>
  <si>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</si>
  <si>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</si>
  <si>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</si>
  <si>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</si>
  <si>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</si>
  <si>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</si>
  <si>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</si>
  <si>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</si>
  <si>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</si>
  <si>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</si>
  <si>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</si>
  <si>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</si>
  <si>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</si>
  <si>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</si>
  <si>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</si>
  <si>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</si>
  <si>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</si>
  <si>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</si>
  <si>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</si>
  <si>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</si>
  <si>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</si>
  <si>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</si>
  <si>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</si>
  <si>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</si>
  <si>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</si>
  <si>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</si>
  <si>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</si>
  <si>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</si>
  <si>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</si>
  <si>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</si>
  <si>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</si>
  <si>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</si>
  <si>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</si>
  <si>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</si>
  <si>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</si>
  <si>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</si>
  <si>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</si>
  <si>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</si>
  <si>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</si>
  <si>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</si>
  <si>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</si>
  <si>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</si>
  <si>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</si>
  <si>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</si>
  <si>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</si>
  <si>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</si>
  <si>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</si>
  <si>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</si>
  <si>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</si>
  <si>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</si>
  <si>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</si>
  <si>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</si>
  <si>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</si>
  <si>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</si>
  <si>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</si>
  <si>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</si>
  <si>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</si>
  <si>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</si>
  <si>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</si>
  <si>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</si>
  <si>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</si>
  <si>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</si>
  <si>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</si>
  <si>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</si>
  <si>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</si>
  <si>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</si>
  <si>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</si>
  <si>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</si>
  <si>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</si>
  <si>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</si>
  <si>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</si>
  <si>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</si>
  <si>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</si>
  <si>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</si>
  <si>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</si>
  <si>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</si>
  <si>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</si>
  <si>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</si>
  <si>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</si>
  <si>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</si>
  <si>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</si>
  <si>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</si>
  <si>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</si>
  <si>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</si>
  <si>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</si>
  <si>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</si>
  <si>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</si>
  <si>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</si>
  <si>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</si>
  <si>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</si>
  <si>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</si>
  <si>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</si>
  <si>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</si>
  <si>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</si>
  <si>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</si>
  <si>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</si>
  <si>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</si>
  <si>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</si>
  <si>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</si>
  <si>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</si>
  <si>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</si>
  <si>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</si>
  <si>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</si>
  <si>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</si>
  <si>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</si>
  <si>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</si>
  <si>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</si>
  <si>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</si>
  <si>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</si>
  <si>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</si>
  <si>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</si>
  <si>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</si>
  <si>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</si>
  <si>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</si>
  <si>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</si>
  <si>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</si>
  <si>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</si>
  <si>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</si>
  <si>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</si>
  <si>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</si>
  <si>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</si>
  <si>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</si>
  <si>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</si>
  <si>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</si>
  <si>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</si>
  <si>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</si>
  <si>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</si>
  <si>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</si>
  <si>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</si>
  <si>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</si>
  <si>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</si>
  <si>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</si>
  <si>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</si>
  <si>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</si>
  <si>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</si>
  <si>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</si>
  <si>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</si>
  <si>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</si>
  <si>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</si>
  <si>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</si>
  <si>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</si>
  <si>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</si>
  <si>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</si>
  <si>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</si>
  <si>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</si>
  <si>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</si>
  <si>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</si>
  <si>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</si>
  <si>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</si>
  <si>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</si>
  <si>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</si>
  <si>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</si>
  <si>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</si>
  <si>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</si>
  <si>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</si>
  <si>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</si>
  <si>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</si>
  <si>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</si>
  <si>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</si>
  <si>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</si>
  <si>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</si>
  <si>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</si>
  <si>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</si>
  <si>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</si>
  <si>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</si>
  <si>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</si>
  <si>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</si>
  <si>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</si>
  <si>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</si>
  <si>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</si>
  <si>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</si>
  <si>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</si>
  <si>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</si>
  <si>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</si>
  <si>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</si>
  <si>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</si>
  <si>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</si>
  <si>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</si>
  <si>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</si>
  <si>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</si>
  <si>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</si>
  <si>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</si>
  <si>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</si>
  <si>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</si>
  <si>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</si>
  <si>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</si>
  <si>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</si>
  <si>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</si>
  <si>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</si>
  <si>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</si>
  <si>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</si>
  <si>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</si>
  <si>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</si>
  <si>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</si>
  <si>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</si>
  <si>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</si>
  <si>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</si>
  <si>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</si>
  <si>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</si>
  <si>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</si>
  <si>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</si>
  <si>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</si>
  <si>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</si>
  <si>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</si>
  <si>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</si>
  <si>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</si>
  <si>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</si>
  <si>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</si>
  <si>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</si>
  <si>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</si>
  <si>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</si>
  <si>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</si>
  <si>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</si>
  <si>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</si>
  <si>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</si>
  <si>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</si>
  <si>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</si>
  <si>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</si>
  <si>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</si>
  <si>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</si>
  <si>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</si>
  <si>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</si>
  <si>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</si>
  <si>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</si>
  <si>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</si>
  <si>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</si>
  <si>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</si>
  <si>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</si>
  <si>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</si>
  <si>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</si>
  <si>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</si>
  <si>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</si>
  <si>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</si>
  <si>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</si>
  <si>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</si>
  <si>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</si>
  <si>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</si>
  <si>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</si>
  <si>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</si>
  <si>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</si>
  <si>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</si>
  <si>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</si>
  <si>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</si>
  <si>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</si>
  <si>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</si>
  <si>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</si>
  <si>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</si>
  <si>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</si>
  <si>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</si>
  <si>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</si>
  <si>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</si>
  <si>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</si>
  <si>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</si>
  <si>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</si>
  <si>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</si>
  <si>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</si>
  <si>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</si>
  <si>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</si>
  <si>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</si>
  <si>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</si>
  <si>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</si>
  <si>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</si>
  <si>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</si>
  <si>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</si>
  <si>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</si>
  <si>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</si>
  <si>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</si>
  <si>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</si>
  <si>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</si>
  <si>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</si>
  <si>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</si>
  <si>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</si>
  <si>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</si>
  <si>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</si>
  <si>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</si>
  <si>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</si>
  <si>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</si>
  <si>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</si>
  <si>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</si>
  <si>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</si>
  <si>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</si>
  <si>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</si>
  <si>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</si>
  <si>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</si>
  <si>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</si>
  <si>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</si>
  <si>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</si>
  <si>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</si>
  <si>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</si>
  <si>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</si>
  <si>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</si>
  <si>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</si>
  <si>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</si>
  <si>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</si>
  <si>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</si>
  <si>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</si>
  <si>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</si>
  <si>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</si>
  <si>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</si>
  <si>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</si>
  <si>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</si>
  <si>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</si>
  <si>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</si>
  <si>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</si>
  <si>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</si>
  <si>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</si>
  <si>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</si>
  <si>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</si>
  <si>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</si>
  <si>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</si>
  <si>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</si>
  <si>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</si>
  <si>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</si>
  <si>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</si>
  <si>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</si>
  <si>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</si>
  <si>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</si>
  <si>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</si>
  <si>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</si>
  <si>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</si>
  <si>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</si>
  <si>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</si>
  <si>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</si>
  <si>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</si>
  <si>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</si>
  <si>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</si>
  <si>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</si>
  <si>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</si>
  <si>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</si>
  <si>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</si>
  <si>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</si>
  <si>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</si>
  <si>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</si>
  <si>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</si>
  <si>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</si>
  <si>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</si>
  <si>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</si>
  <si>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</si>
  <si>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</si>
  <si>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</si>
  <si>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</si>
  <si>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</si>
  <si>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</si>
  <si>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</si>
  <si>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</si>
  <si>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</si>
  <si>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</si>
  <si>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</si>
  <si>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</si>
  <si>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</si>
  <si>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</si>
  <si>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</si>
  <si>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</si>
  <si>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</si>
  <si>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</si>
  <si>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</si>
  <si>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</si>
  <si>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</si>
  <si>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</si>
  <si>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</si>
  <si>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</si>
  <si>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</si>
  <si>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</si>
  <si>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</si>
  <si>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</si>
  <si>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</si>
  <si>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</si>
  <si>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</si>
  <si>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</si>
  <si>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</si>
  <si>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</si>
  <si>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</si>
  <si>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</si>
  <si>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</si>
  <si>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</si>
  <si>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</si>
  <si>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</si>
  <si>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</si>
  <si>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</si>
  <si>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</si>
  <si>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</si>
  <si>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</si>
  <si>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</si>
  <si>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</si>
  <si>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</si>
  <si>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</si>
  <si>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</si>
  <si>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</si>
  <si>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</si>
  <si>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</si>
  <si>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</si>
  <si>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</si>
  <si>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</si>
  <si>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</si>
  <si>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</si>
  <si>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</si>
  <si>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</si>
  <si>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</si>
  <si>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</si>
  <si>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</si>
  <si>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</si>
  <si>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</si>
  <si>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</si>
  <si>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</si>
  <si>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</si>
  <si>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</si>
  <si>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</si>
  <si>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</si>
  <si>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</si>
  <si>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</si>
  <si>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</si>
  <si>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</si>
  <si>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</si>
  <si>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</si>
  <si>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</si>
  <si>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</si>
  <si>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</si>
  <si>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</si>
  <si>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</si>
  <si>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</si>
  <si>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</si>
  <si>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</si>
  <si>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</si>
  <si>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</si>
  <si>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</si>
  <si>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</si>
  <si>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</si>
  <si>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</si>
  <si>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</si>
  <si>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</si>
  <si>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</si>
  <si>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</si>
  <si>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</si>
  <si>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</si>
  <si>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</si>
  <si>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</si>
  <si>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</si>
  <si>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</si>
  <si>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</si>
  <si>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</si>
  <si>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</si>
  <si>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</si>
  <si>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</si>
  <si>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</si>
  <si>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</si>
  <si>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</si>
  <si>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</si>
  <si>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</si>
  <si>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</si>
  <si>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</si>
  <si>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</si>
  <si>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</si>
  <si>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</si>
  <si>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</si>
  <si>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</si>
  <si>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</si>
  <si>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</si>
  <si>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</si>
  <si>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</si>
  <si>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</si>
  <si>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</si>
  <si>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</si>
  <si>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</si>
  <si>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</si>
  <si>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</si>
  <si>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</si>
  <si>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</si>
  <si>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</si>
  <si>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</si>
  <si>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</si>
  <si>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</si>
  <si>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</si>
  <si>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</si>
  <si>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</si>
  <si>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</si>
  <si>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</si>
  <si>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</si>
  <si>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</si>
  <si>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</si>
  <si>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</si>
  <si>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</si>
  <si>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</si>
  <si>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</si>
  <si>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</si>
  <si>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</si>
  <si>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</si>
  <si>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</si>
  <si>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</si>
  <si>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</si>
  <si>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</si>
  <si>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</si>
  <si>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</si>
  <si>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</si>
  <si>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</si>
  <si>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</si>
  <si>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</si>
  <si>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</si>
  <si>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</si>
  <si>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</si>
  <si>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</si>
  <si>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</si>
  <si>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</si>
  <si>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</si>
  <si>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</si>
  <si>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</si>
  <si>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</si>
  <si>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</si>
  <si>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</si>
  <si>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</si>
  <si>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</si>
  <si>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</si>
  <si>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</si>
  <si>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</si>
  <si>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</si>
  <si>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</si>
  <si>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</si>
  <si>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</si>
  <si>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</si>
  <si>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</si>
  <si>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</si>
  <si>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</si>
  <si>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</si>
  <si>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</si>
  <si>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</si>
  <si>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</si>
  <si>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</si>
  <si>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</si>
  <si>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</si>
  <si>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</si>
  <si>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</si>
  <si>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</si>
  <si>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</si>
  <si>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</si>
  <si>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</si>
  <si>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</si>
  <si>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</si>
  <si>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</si>
  <si>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</si>
  <si>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</si>
  <si>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</si>
  <si>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</si>
  <si>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</si>
  <si>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</si>
  <si>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</si>
  <si>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</si>
  <si>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</si>
  <si>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</si>
  <si>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</si>
  <si>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</si>
  <si>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</si>
  <si>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</si>
  <si>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</si>
  <si>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</si>
  <si>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</si>
  <si>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</si>
  <si>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</si>
  <si>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</si>
  <si>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</si>
  <si>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</si>
  <si>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</si>
  <si>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</si>
  <si>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</si>
  <si>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</si>
  <si>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</si>
  <si>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</si>
  <si>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</si>
  <si>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</si>
  <si>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</si>
  <si>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</si>
  <si>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</si>
  <si>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</si>
  <si>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</si>
  <si>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</si>
  <si>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</si>
  <si>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</si>
  <si>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</si>
  <si>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</si>
  <si>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</si>
  <si>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</si>
  <si>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</si>
  <si>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</si>
  <si>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</si>
  <si>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</si>
  <si>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</si>
  <si>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</si>
  <si>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</si>
  <si>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</si>
  <si>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</si>
  <si>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</si>
  <si>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</si>
  <si>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</si>
  <si>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</si>
  <si>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</si>
  <si>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</si>
  <si>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</si>
  <si>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</si>
  <si>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</si>
  <si>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</si>
  <si>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</si>
  <si>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</si>
  <si>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</si>
  <si>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</si>
  <si>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</si>
  <si>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</si>
  <si>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</si>
  <si>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</si>
  <si>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</si>
  <si>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</si>
  <si>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</si>
  <si>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</si>
  <si>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</si>
  <si>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</si>
  <si>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</si>
  <si>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</si>
  <si>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</si>
  <si>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</si>
  <si>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</si>
  <si>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</si>
  <si>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</si>
  <si>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</si>
  <si>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</si>
  <si>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</si>
  <si>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</si>
  <si>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</si>
  <si>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</si>
  <si>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</si>
  <si>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</si>
  <si>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</si>
  <si>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</si>
  <si>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</si>
  <si>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</si>
  <si>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</si>
  <si>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</si>
  <si>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</si>
  <si>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</si>
  <si>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</si>
  <si>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</si>
  <si>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</si>
  <si>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</si>
  <si>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</si>
  <si>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</si>
  <si>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</si>
  <si>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</si>
  <si>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</si>
  <si>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</si>
  <si>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</si>
  <si>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</si>
  <si>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</si>
  <si>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</si>
  <si>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</si>
  <si>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</si>
  <si>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</si>
  <si>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</si>
  <si>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</si>
  <si>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</si>
  <si>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</si>
  <si>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</si>
  <si>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</si>
  <si>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</si>
  <si>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</si>
  <si>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</si>
  <si>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</si>
  <si>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</si>
  <si>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</si>
  <si>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</si>
  <si>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</si>
  <si>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</si>
  <si>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</si>
  <si>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</si>
  <si>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</si>
  <si>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</si>
  <si>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</si>
  <si>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</si>
  <si>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</si>
  <si>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</si>
  <si>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</si>
  <si>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</si>
  <si>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</si>
  <si>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</si>
  <si>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</si>
  <si>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</si>
  <si>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</si>
  <si>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</si>
  <si>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</si>
  <si>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</si>
  <si>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</si>
  <si>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</si>
  <si>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</si>
  <si>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</si>
  <si>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</si>
  <si>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</si>
  <si>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</si>
  <si>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</si>
  <si>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</si>
  <si>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</si>
  <si>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</si>
  <si>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</si>
  <si>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</si>
  <si>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</si>
  <si>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</si>
  <si>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</si>
  <si>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</si>
  <si>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</si>
  <si>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</si>
  <si>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</si>
  <si>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</si>
  <si>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</si>
  <si>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</si>
  <si>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</si>
  <si>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</si>
  <si>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</si>
  <si>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</si>
  <si>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</si>
  <si>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</si>
  <si>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</si>
  <si>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</si>
  <si>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</si>
  <si>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</si>
  <si>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</si>
  <si>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</si>
  <si>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</si>
  <si>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</si>
  <si>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</si>
  <si>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</si>
  <si>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</si>
  <si>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</si>
  <si>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</si>
  <si>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</si>
  <si>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</si>
  <si>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</si>
  <si>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</si>
  <si>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</si>
  <si>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</si>
  <si>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</si>
  <si>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</si>
  <si>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</si>
  <si>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</si>
  <si>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</si>
  <si>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</si>
  <si>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</si>
  <si>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</si>
  <si>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</si>
  <si>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</si>
  <si>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</si>
  <si>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</si>
  <si>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</si>
  <si>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</si>
  <si>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</si>
  <si>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</si>
  <si>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</si>
  <si>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</si>
  <si>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</si>
  <si>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</si>
  <si>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</si>
  <si>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</si>
  <si>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</si>
  <si>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</si>
  <si>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</si>
  <si>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</si>
  <si>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</si>
  <si>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</si>
  <si>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</si>
  <si>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</si>
  <si>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</si>
  <si>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</si>
  <si>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</si>
  <si>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</si>
  <si>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</si>
  <si>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</si>
  <si>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</si>
  <si>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</si>
  <si>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</si>
  <si>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</si>
  <si>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</si>
  <si>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</si>
  <si>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</si>
  <si>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</si>
  <si>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</si>
  <si>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</si>
  <si>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</si>
  <si>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</si>
  <si>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</si>
  <si>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</si>
  <si>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</si>
  <si>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</si>
  <si>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</si>
  <si>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</si>
  <si>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</si>
  <si>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</si>
  <si>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</si>
  <si>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</si>
  <si>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</si>
  <si>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</si>
  <si>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</si>
  <si>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</si>
  <si>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</si>
  <si>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</si>
  <si>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</si>
  <si>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</si>
  <si>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</si>
  <si>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</si>
  <si>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</si>
  <si>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</si>
  <si>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</si>
  <si>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</si>
  <si>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</si>
  <si>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</si>
  <si>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</si>
  <si>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</si>
  <si>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</si>
  <si>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</si>
  <si>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</si>
  <si>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</si>
  <si>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</si>
  <si>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</si>
  <si>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</si>
  <si>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</si>
  <si>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</si>
  <si>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</si>
  <si>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</si>
  <si>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</si>
  <si>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</si>
  <si>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</si>
  <si>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</si>
  <si>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</si>
  <si>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</si>
  <si>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</si>
  <si>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</si>
  <si>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</si>
  <si>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</si>
  <si>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</si>
  <si>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</si>
  <si>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</si>
  <si>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</si>
  <si>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</si>
  <si>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</si>
  <si>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</si>
  <si>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</si>
  <si>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</si>
  <si>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</si>
  <si>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</si>
  <si>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</si>
  <si>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</si>
  <si>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</si>
  <si>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</si>
  <si>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</si>
  <si>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</si>
  <si>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</si>
  <si>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</si>
  <si>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</si>
  <si>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</si>
  <si>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</si>
  <si>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</si>
  <si>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</si>
  <si>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</si>
  <si>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</si>
  <si>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</si>
  <si>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</si>
  <si>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</si>
  <si>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</si>
  <si>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</si>
  <si>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</si>
  <si>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</si>
  <si>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</si>
  <si>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</si>
  <si>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</si>
  <si>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</si>
  <si>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</si>
  <si>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</si>
  <si>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</si>
  <si>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</si>
  <si>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</si>
  <si>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</si>
  <si>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</si>
  <si>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</si>
  <si>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</si>
  <si>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</si>
  <si>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</si>
  <si>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</si>
  <si>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</si>
  <si>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</si>
  <si>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</si>
  <si>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</si>
  <si>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</si>
  <si>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</si>
  <si>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</si>
  <si>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</si>
  <si>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</si>
  <si>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</si>
  <si>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</si>
  <si>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</si>
  <si>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</si>
  <si>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</si>
  <si>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</si>
  <si>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</si>
  <si>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</si>
  <si>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</si>
  <si>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</si>
  <si>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</si>
  <si>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</si>
  <si>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</si>
  <si>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</si>
  <si>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</si>
  <si>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</si>
  <si>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</si>
  <si>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</si>
  <si>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</si>
  <si>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</si>
  <si>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</si>
  <si>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</si>
  <si>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</si>
  <si>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</si>
  <si>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</si>
  <si>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</si>
  <si>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</si>
  <si>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</si>
  <si>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</si>
  <si>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</si>
  <si>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</si>
  <si>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</si>
  <si>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</si>
  <si>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</si>
  <si>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</si>
  <si>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</si>
  <si>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</si>
  <si>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</si>
  <si>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</si>
  <si>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</si>
  <si>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</si>
  <si>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</si>
  <si>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</si>
  <si>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</si>
  <si>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</si>
  <si>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</si>
  <si>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</si>
  <si>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</si>
  <si>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</si>
  <si>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</si>
  <si>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</si>
  <si>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</si>
  <si>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</si>
  <si>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</si>
  <si>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</si>
  <si>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</si>
  <si>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</si>
  <si>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</si>
  <si>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</si>
  <si>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</si>
  <si>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</si>
  <si>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</si>
  <si>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</si>
  <si>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</si>
  <si>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</si>
  <si>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</si>
  <si>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</si>
  <si>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</si>
  <si>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</si>
  <si>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</si>
  <si>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</si>
  <si>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</si>
  <si>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</si>
  <si>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</si>
  <si>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</si>
  <si>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</si>
  <si>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</si>
  <si>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</si>
  <si>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</si>
  <si>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</si>
  <si>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</si>
  <si>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</si>
  <si>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</si>
  <si>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</si>
  <si>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</si>
  <si>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</si>
  <si>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</si>
  <si>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</si>
  <si>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</si>
  <si>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</si>
  <si>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</si>
  <si>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</si>
  <si>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</si>
  <si>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</si>
  <si>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</si>
  <si>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</si>
  <si>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</si>
  <si>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</si>
  <si>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</si>
  <si>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</si>
  <si>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</si>
  <si>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</si>
  <si>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</si>
  <si>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</si>
  <si>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</si>
  <si>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</si>
  <si>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</si>
  <si>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</si>
  <si>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</si>
  <si>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</si>
  <si>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</si>
  <si>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</si>
  <si>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</si>
  <si>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</si>
  <si>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</si>
  <si>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</si>
  <si>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</si>
  <si>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</si>
  <si>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</si>
  <si>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</si>
  <si>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</si>
  <si>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</si>
  <si>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</si>
  <si>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</si>
  <si>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</si>
  <si>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</si>
  <si>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</si>
  <si>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</si>
  <si>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</si>
  <si>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</si>
  <si>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</si>
  <si>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</si>
  <si>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</si>
  <si>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</si>
  <si>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</si>
  <si>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</si>
  <si>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</si>
  <si>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</si>
  <si>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</si>
  <si>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</si>
  <si>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</si>
  <si>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</si>
  <si>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</si>
  <si>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</si>
  <si>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</si>
  <si>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</si>
  <si>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</si>
  <si>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</si>
  <si>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</si>
  <si>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</si>
  <si>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</si>
  <si>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</si>
  <si>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</si>
  <si>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</si>
  <si>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</si>
  <si>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</si>
  <si>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</si>
  <si>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</si>
  <si>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</si>
  <si>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</si>
  <si>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</si>
  <si>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</si>
  <si>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</si>
  <si>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</si>
  <si>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</si>
  <si>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</si>
  <si>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</si>
  <si>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</si>
  <si>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</si>
  <si>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</si>
  <si>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</si>
  <si>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</si>
  <si>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</si>
  <si>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</si>
  <si>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</si>
  <si>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</si>
  <si>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</si>
  <si>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</si>
  <si>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</si>
  <si>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</si>
  <si>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</si>
  <si>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</si>
  <si>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</si>
  <si>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</si>
  <si>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</si>
  <si>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</si>
  <si>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</si>
  <si>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</si>
  <si>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</si>
  <si>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</si>
  <si>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</si>
  <si>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</si>
  <si>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</si>
  <si>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</si>
  <si>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</si>
  <si>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</si>
  <si>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</si>
  <si>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</si>
  <si>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</si>
  <si>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</si>
  <si>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</si>
  <si>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</si>
  <si>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</si>
  <si>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</si>
  <si>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</si>
  <si>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</si>
  <si>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</si>
  <si>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</si>
  <si>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</si>
  <si>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</si>
  <si>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</si>
  <si>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</si>
  <si>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</si>
  <si>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</si>
  <si>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</si>
  <si>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</si>
  <si>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</si>
  <si>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</si>
  <si>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</si>
  <si>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</si>
  <si>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</si>
  <si>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</si>
  <si>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</si>
  <si>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</si>
  <si>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</si>
  <si>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</si>
  <si>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</si>
  <si>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</si>
  <si>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</si>
  <si>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</si>
  <si>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</si>
  <si>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</si>
  <si>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</si>
  <si>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</si>
  <si>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</si>
  <si>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</si>
  <si>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</si>
  <si>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</si>
  <si>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</si>
  <si>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</si>
  <si>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</si>
  <si>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</si>
  <si>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</si>
  <si>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</si>
  <si>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</si>
  <si>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</si>
  <si>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</si>
  <si>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</si>
  <si>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</si>
  <si>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</si>
  <si>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</si>
  <si>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</si>
  <si>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</si>
  <si>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</si>
  <si>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</si>
  <si>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</si>
  <si>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</si>
  <si>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</si>
  <si>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</si>
  <si>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</si>
  <si>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</si>
  <si>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</si>
  <si>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</si>
  <si>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</si>
  <si>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</si>
  <si>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</si>
  <si>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</si>
  <si>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</si>
  <si>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</si>
  <si>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</si>
  <si>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</si>
  <si>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</si>
  <si>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</si>
  <si>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</si>
  <si>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</si>
  <si>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</si>
  <si>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</si>
  <si>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</si>
  <si>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</si>
  <si>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</si>
  <si>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</si>
  <si>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</si>
  <si>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</si>
  <si>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</si>
  <si>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</si>
  <si>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</si>
  <si>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</si>
  <si>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</si>
  <si>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</si>
  <si>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</si>
  <si>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</si>
  <si>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</si>
  <si>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</si>
  <si>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</si>
  <si>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</si>
  <si>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</si>
  <si>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</si>
  <si>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</si>
  <si>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</si>
  <si>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</si>
  <si>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</si>
  <si>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</si>
  <si>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</si>
  <si>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</si>
  <si>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</si>
  <si>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</si>
  <si>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</si>
  <si>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</si>
  <si>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</si>
  <si>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</si>
  <si>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</si>
  <si>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</si>
  <si>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</si>
  <si>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</si>
  <si>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</si>
  <si>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</si>
  <si>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</si>
  <si>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</si>
  <si>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</si>
  <si>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</si>
  <si>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</si>
  <si>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</si>
  <si>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</si>
  <si>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</si>
  <si>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</si>
  <si>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</si>
  <si>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</si>
  <si>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</si>
  <si>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</si>
  <si>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</si>
  <si>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</si>
  <si>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</si>
  <si>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</si>
  <si>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</si>
  <si>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</si>
  <si>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</si>
  <si>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</si>
  <si>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</si>
  <si>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</si>
  <si>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</si>
  <si>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</si>
  <si>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</si>
  <si>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</si>
  <si>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</si>
  <si>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</si>
  <si>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</si>
  <si>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</si>
  <si>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</si>
  <si>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</si>
  <si>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</si>
  <si>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</si>
  <si>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</si>
  <si>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</si>
  <si>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</si>
  <si>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</si>
  <si>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</si>
  <si>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</si>
  <si>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</si>
  <si>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</si>
  <si>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</si>
  <si>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</si>
  <si>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</si>
  <si>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</si>
  <si>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</si>
  <si>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</si>
  <si>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</si>
  <si>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</si>
  <si>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</si>
  <si>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</si>
  <si>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</si>
  <si>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</si>
  <si>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</si>
  <si>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</si>
  <si>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</si>
  <si>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</si>
  <si>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</si>
  <si>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</si>
  <si>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</si>
  <si>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</si>
  <si>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</si>
  <si>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</si>
  <si>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</si>
  <si>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</si>
  <si>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</si>
  <si>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</si>
  <si>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</si>
  <si>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</si>
  <si>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</si>
  <si>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</si>
  <si>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</si>
  <si>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</si>
  <si>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</si>
  <si>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</si>
  <si>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</si>
  <si>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</si>
  <si>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</si>
  <si>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</si>
  <si>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</si>
  <si>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</si>
  <si>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</si>
  <si>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</si>
  <si>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</si>
  <si>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</si>
  <si>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</si>
  <si>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</si>
  <si>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</si>
  <si>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</si>
  <si>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</si>
  <si>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</si>
  <si>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</si>
  <si>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</si>
  <si>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</si>
  <si>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</si>
  <si>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</si>
  <si>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</si>
  <si>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</si>
  <si>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</si>
  <si>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</si>
  <si>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</si>
  <si>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</si>
  <si>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</si>
  <si>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</si>
  <si>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</si>
  <si>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</si>
  <si>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</si>
  <si>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</si>
  <si>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</si>
  <si>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</si>
  <si>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</si>
  <si>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</si>
  <si>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</si>
  <si>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</si>
  <si>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</si>
  <si>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</si>
  <si>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</si>
  <si>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</si>
  <si>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</si>
  <si>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</si>
  <si>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</si>
  <si>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</si>
  <si>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</si>
  <si>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</si>
  <si>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</si>
  <si>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</si>
  <si>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</si>
  <si>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</si>
  <si>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</si>
  <si>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</si>
  <si>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</si>
  <si>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</si>
  <si>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</si>
  <si>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</si>
  <si>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</si>
  <si>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</si>
  <si>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</si>
  <si>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</si>
  <si>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</si>
  <si>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</si>
  <si>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</si>
  <si>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</si>
  <si>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</si>
  <si>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</si>
  <si>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</si>
  <si>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</si>
  <si>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</si>
  <si>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</si>
  <si>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</si>
  <si>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</si>
  <si>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</si>
  <si>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</si>
  <si>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</si>
  <si>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</si>
  <si>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</si>
  <si>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</si>
  <si>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</si>
  <si>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</si>
  <si>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</si>
  <si>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</si>
  <si>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</si>
  <si>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</si>
  <si>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</si>
  <si>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</si>
  <si>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</si>
  <si>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</si>
  <si>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</si>
  <si>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</si>
  <si>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</si>
  <si>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</si>
  <si>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</si>
  <si>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</si>
  <si>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</si>
  <si>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</si>
  <si>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</si>
  <si>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</si>
  <si>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</si>
  <si>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</si>
  <si>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</si>
  <si>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</si>
  <si>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</si>
  <si>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</si>
  <si>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</si>
  <si>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</si>
  <si>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</si>
  <si>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</si>
  <si>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</si>
  <si>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</si>
  <si>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</si>
  <si>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</si>
  <si>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</si>
  <si>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</si>
  <si>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</si>
  <si>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</si>
  <si>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</si>
  <si>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</si>
  <si>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</si>
  <si>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</si>
  <si>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</si>
  <si>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</si>
  <si>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</si>
  <si>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</si>
  <si>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</si>
  <si>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</si>
  <si>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</si>
  <si>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</si>
  <si>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</si>
  <si>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</si>
  <si>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</si>
  <si>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</si>
  <si>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</si>
  <si>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</si>
  <si>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</si>
  <si>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</si>
  <si>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</si>
  <si>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</si>
  <si>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</si>
  <si>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</si>
  <si>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</si>
  <si>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</si>
  <si>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</si>
  <si>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</si>
  <si>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</si>
  <si>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</si>
  <si>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</si>
  <si>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</si>
  <si>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</si>
  <si>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</si>
  <si>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</si>
  <si>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</si>
  <si>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</si>
  <si>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</si>
  <si>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</si>
  <si>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</si>
  <si>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</si>
  <si>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</si>
  <si>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</si>
  <si>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</si>
  <si>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</si>
  <si>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</si>
  <si>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</si>
  <si>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</si>
  <si>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</si>
  <si>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</si>
  <si>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</si>
  <si>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</si>
  <si>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</si>
  <si>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</si>
  <si>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</si>
  <si>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</si>
  <si>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</si>
  <si>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</si>
  <si>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</si>
  <si>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</si>
  <si>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</si>
  <si>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</si>
  <si>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</si>
  <si>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</si>
  <si>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</si>
  <si>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</si>
  <si>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</si>
  <si>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</si>
  <si>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</si>
  <si>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</si>
  <si>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</si>
  <si>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</si>
  <si>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</si>
  <si>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</si>
  <si>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</si>
  <si>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</si>
  <si>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</si>
  <si>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</si>
  <si>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</si>
  <si>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</si>
  <si>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</si>
  <si>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</si>
  <si>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</si>
  <si>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</si>
  <si>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</si>
  <si>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</si>
  <si>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</si>
  <si>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</si>
  <si>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</si>
  <si>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</si>
  <si>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</si>
  <si>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</si>
  <si>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</si>
  <si>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</si>
  <si>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</si>
  <si>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</si>
  <si>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</si>
  <si>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</si>
  <si>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</si>
  <si>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</si>
  <si>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</si>
  <si>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</si>
  <si>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</si>
  <si>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</si>
  <si>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</si>
  <si>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</si>
  <si>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</si>
  <si>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</si>
  <si>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</si>
  <si>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</si>
  <si>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</si>
  <si>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</si>
  <si>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</si>
  <si>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</si>
  <si>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</si>
  <si>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</si>
  <si>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</si>
  <si>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</si>
  <si>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</si>
  <si>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</si>
  <si>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</si>
  <si>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</si>
  <si>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</si>
  <si>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</si>
  <si>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</si>
  <si>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</si>
  <si>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</si>
  <si>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</si>
  <si>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</si>
  <si>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</si>
  <si>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</si>
  <si>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</si>
  <si>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</si>
  <si>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</si>
  <si>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</si>
  <si>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</si>
  <si>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</si>
  <si>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</si>
  <si>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</si>
  <si>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</si>
  <si>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</si>
  <si>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</si>
  <si>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</si>
  <si>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</si>
  <si>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</si>
  <si>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</si>
  <si>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</si>
  <si>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</si>
  <si>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</si>
  <si>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</si>
  <si>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</si>
  <si>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</si>
  <si>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</si>
  <si>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</si>
  <si>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</si>
  <si>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</si>
  <si>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</si>
  <si>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</si>
  <si>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</si>
  <si>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</si>
  <si>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</si>
  <si>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</si>
  <si>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</si>
  <si>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</si>
  <si>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</si>
  <si>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</si>
  <si>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</si>
  <si>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</si>
  <si>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</si>
  <si>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</si>
  <si>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</si>
  <si>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</si>
  <si>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</si>
  <si>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</si>
  <si>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</si>
  <si>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</si>
  <si>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</si>
  <si>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</si>
  <si>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</si>
  <si>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</si>
  <si>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</si>
  <si>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</si>
  <si>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</si>
  <si>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</si>
  <si>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</si>
  <si>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</si>
  <si>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</si>
  <si>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</si>
  <si>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</si>
  <si>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</si>
  <si>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</si>
  <si>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</si>
  <si>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</si>
  <si>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</si>
  <si>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</si>
  <si>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</si>
  <si>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</si>
  <si>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</si>
  <si>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</si>
  <si>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</si>
  <si>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</si>
  <si>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</si>
  <si>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</si>
  <si>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</si>
  <si>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</si>
  <si>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</si>
  <si>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</si>
  <si>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</si>
  <si>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</si>
  <si>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</si>
  <si>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</si>
  <si>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</si>
  <si>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</si>
  <si>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</si>
  <si>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</si>
  <si>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</si>
  <si>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</si>
  <si>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</si>
  <si>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</si>
  <si>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</si>
  <si>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</si>
  <si>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</si>
  <si>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</si>
  <si>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</si>
  <si>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</si>
  <si>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</si>
  <si>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</si>
  <si>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</si>
  <si>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</si>
  <si>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</si>
  <si>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</si>
  <si>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</si>
  <si>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</si>
  <si>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</si>
  <si>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</si>
  <si>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</si>
  <si>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</si>
  <si>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</si>
  <si>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</si>
  <si>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</si>
  <si>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王鹏</t>
  </si>
  <si>
    <t>郑燚</t>
  </si>
  <si>
    <t>北京凯普林光电科技股份有限公司</t>
    <phoneticPr fontId="7" type="noConversion"/>
  </si>
  <si>
    <t>抵押</t>
  </si>
  <si>
    <t>房地产抵押价值</t>
  </si>
  <si>
    <t>北京市</t>
  </si>
  <si>
    <r>
      <rPr>
        <sz val="12"/>
        <color theme="9" tint="-0.249977111117893"/>
        <rFont val="宋体"/>
        <family val="3"/>
        <charset val="134"/>
      </rPr>
      <t>丰台区南四环西路</t>
    </r>
    <r>
      <rPr>
        <sz val="12"/>
        <color theme="9" tint="-0.249977111117893"/>
        <rFont val="Arial"/>
        <family val="2"/>
      </rPr>
      <t>128</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610</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套办公用房</t>
    </r>
    <phoneticPr fontId="7" type="noConversion"/>
  </si>
  <si>
    <t>企业</t>
  </si>
  <si>
    <t>出让</t>
  </si>
  <si>
    <t>办公</t>
    <phoneticPr fontId="7" type="noConversion"/>
  </si>
  <si>
    <t>否</t>
  </si>
  <si>
    <t>《不动产权证书》</t>
  </si>
  <si>
    <t>复印件</t>
  </si>
  <si>
    <t>办公项目</t>
  </si>
  <si>
    <t>无</t>
  </si>
  <si>
    <t>现房</t>
  </si>
  <si>
    <t>通路</t>
  </si>
  <si>
    <t>通电</t>
  </si>
  <si>
    <t>通上水</t>
  </si>
  <si>
    <t>通下水</t>
  </si>
  <si>
    <t>通热</t>
  </si>
  <si>
    <t>通讯</t>
  </si>
  <si>
    <t>是</t>
  </si>
  <si>
    <t>办公</t>
    <phoneticPr fontId="4" type="noConversion"/>
  </si>
  <si>
    <t>地上</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</si>
  <si>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0041277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7"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</si>
  <si>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611</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</si>
  <si>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612</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</si>
  <si>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613</t>
    </r>
    <r>
      <rPr>
        <sz val="11"/>
        <color theme="1"/>
        <rFont val="宋体"/>
        <family val="2"/>
        <charset val="134"/>
        <scheme val="minor"/>
      </rPr>
      <t/>
    </r>
  </si>
  <si>
    <t>——</t>
    <phoneticPr fontId="144" type="noConversion"/>
  </si>
  <si>
    <r>
      <rPr>
        <sz val="10"/>
        <color theme="1"/>
        <rFont val="宋体"/>
        <family val="3"/>
        <charset val="134"/>
      </rPr>
      <t>序号</t>
    </r>
    <phoneticPr fontId="144" type="noConversion"/>
  </si>
  <si>
    <r>
      <rPr>
        <sz val="10"/>
        <color theme="1"/>
        <rFont val="宋体"/>
        <family val="3"/>
        <charset val="134"/>
      </rPr>
      <t>坐落</t>
    </r>
    <phoneticPr fontId="144" type="noConversion"/>
  </si>
  <si>
    <r>
      <rPr>
        <sz val="10"/>
        <color theme="1"/>
        <rFont val="宋体"/>
        <family val="3"/>
        <charset val="134"/>
      </rPr>
      <t>建筑面积</t>
    </r>
    <phoneticPr fontId="144" type="noConversion"/>
  </si>
  <si>
    <r>
      <rPr>
        <sz val="10"/>
        <color theme="1"/>
        <rFont val="宋体"/>
        <family val="3"/>
        <charset val="134"/>
      </rPr>
      <t>现状用途</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</si>
  <si>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610</t>
    </r>
    <phoneticPr fontId="144" type="noConversion"/>
  </si>
  <si>
    <r>
      <rPr>
        <sz val="10"/>
        <color theme="1"/>
        <rFont val="宋体"/>
        <family val="3"/>
        <charset val="134"/>
      </rPr>
      <t>办公</t>
    </r>
    <phoneticPr fontId="144" type="noConversion"/>
  </si>
  <si>
    <t>规划用途</t>
    <phoneticPr fontId="144" type="noConversion"/>
  </si>
  <si>
    <t>总楼层</t>
    <phoneticPr fontId="144" type="noConversion"/>
  </si>
  <si>
    <t>所在层</t>
    <phoneticPr fontId="144" type="noConversion"/>
  </si>
  <si>
    <t>楼层</t>
    <phoneticPr fontId="144" type="noConversion"/>
  </si>
  <si>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</si>
  <si>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</si>
  <si>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</si>
  <si>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</si>
  <si>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</si>
  <si>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</si>
  <si>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</si>
  <si>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</si>
  <si>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</si>
  <si>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</si>
  <si>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</si>
  <si>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</si>
  <si>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</si>
  <si>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</si>
  <si>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</si>
  <si>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</si>
  <si>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</si>
  <si>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</si>
  <si>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诺德中心一期</t>
    <phoneticPr fontId="4" type="noConversion"/>
  </si>
  <si>
    <t>正常</t>
  </si>
  <si>
    <t>办公</t>
    <phoneticPr fontId="33" type="noConversion"/>
  </si>
  <si>
    <t>40-50（含）</t>
  </si>
  <si>
    <t>高速路</t>
    <phoneticPr fontId="33" type="noConversion"/>
  </si>
  <si>
    <t>快速路</t>
  </si>
  <si>
    <t>快速路</t>
    <phoneticPr fontId="33" type="noConversion"/>
  </si>
  <si>
    <t>主干道</t>
    <phoneticPr fontId="33" type="noConversion"/>
  </si>
  <si>
    <t>次干道</t>
  </si>
  <si>
    <t>次干道</t>
    <phoneticPr fontId="33" type="noConversion"/>
  </si>
  <si>
    <t>支路</t>
    <phoneticPr fontId="33" type="noConversion"/>
  </si>
  <si>
    <t>高区</t>
  </si>
  <si>
    <t>高区</t>
    <phoneticPr fontId="33" type="noConversion"/>
  </si>
  <si>
    <t>中区</t>
  </si>
  <si>
    <t>中区</t>
    <phoneticPr fontId="33" type="noConversion"/>
  </si>
  <si>
    <t>低区</t>
    <phoneticPr fontId="33" type="noConversion"/>
  </si>
  <si>
    <t>标准写字楼</t>
  </si>
  <si>
    <t>标准写字楼</t>
    <phoneticPr fontId="33" type="noConversion"/>
  </si>
  <si>
    <t>钢混</t>
    <phoneticPr fontId="33" type="noConversion"/>
  </si>
  <si>
    <t>精装</t>
    <phoneticPr fontId="33" type="noConversion"/>
  </si>
  <si>
    <t>普装</t>
  </si>
  <si>
    <t>普装</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</si>
  <si>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</si>
  <si>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</si>
  <si>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</si>
  <si>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</si>
  <si>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</si>
  <si>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</si>
  <si>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</si>
  <si>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</si>
  <si>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</si>
  <si>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</si>
  <si>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</si>
  <si>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</si>
  <si>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</si>
  <si>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</si>
  <si>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</si>
  <si>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标准</t>
  </si>
  <si>
    <t>标准</t>
    <phoneticPr fontId="33" type="noConversion"/>
  </si>
  <si>
    <t>城市快速路——南四环</t>
    <phoneticPr fontId="33" type="noConversion"/>
  </si>
  <si>
    <t>高区</t>
    <phoneticPr fontId="26" type="noConversion"/>
  </si>
  <si>
    <t>中区</t>
    <phoneticPr fontId="26" type="noConversion"/>
  </si>
  <si>
    <t>低区</t>
    <phoneticPr fontId="26" type="noConversion"/>
  </si>
  <si>
    <t>租金</t>
  </si>
  <si>
    <t>丰科中心</t>
    <phoneticPr fontId="4" type="noConversion"/>
  </si>
  <si>
    <t>城市次干道——五圈路</t>
    <phoneticPr fontId="33" type="noConversion"/>
  </si>
  <si>
    <t>丰台汽车博物馆8号院</t>
    <phoneticPr fontId="4" type="noConversion"/>
  </si>
  <si>
    <t>诺德中心二期</t>
    <phoneticPr fontId="4" type="noConversion"/>
  </si>
  <si>
    <t>丰台南四环西路128号院</t>
    <phoneticPr fontId="4" type="noConversion"/>
  </si>
  <si>
    <t>总价</t>
    <phoneticPr fontId="144" type="noConversion"/>
  </si>
  <si>
    <t>单价</t>
    <phoneticPr fontId="144" type="noConversion"/>
  </si>
  <si>
    <r>
      <rPr>
        <sz val="10"/>
        <color theme="1"/>
        <rFont val="宋体"/>
        <family val="3"/>
        <charset val="134"/>
      </rPr>
      <t>低区</t>
    </r>
    <phoneticPr fontId="144" type="noConversion"/>
  </si>
  <si>
    <r>
      <rPr>
        <b/>
        <sz val="10"/>
        <color theme="1"/>
        <rFont val="宋体"/>
        <family val="3"/>
        <charset val="134"/>
      </rPr>
      <t>合计</t>
    </r>
    <phoneticPr fontId="144" type="noConversion"/>
  </si>
  <si>
    <t>丰台南四环西路汽车博物馆东路2号院1至4号</t>
    <phoneticPr fontId="4" type="noConversion"/>
  </si>
  <si>
    <t>《不动产权证书》编号</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</si>
  <si>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0041284</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</si>
  <si>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0041282</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</si>
  <si>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0041281</t>
    </r>
    <r>
      <rPr>
        <sz val="10"/>
        <color theme="1"/>
        <rFont val="宋体"/>
        <family val="3"/>
        <charset val="134"/>
      </rPr>
      <t>号</t>
    </r>
    <phoneticPr fontId="144" type="noConversion"/>
  </si>
  <si>
    <t>产权人</t>
    <phoneticPr fontId="144" type="noConversion"/>
  </si>
  <si>
    <t>北京凯普林光电科技股份有限公司</t>
    <phoneticPr fontId="144" type="noConversion"/>
  </si>
  <si>
    <t>城市次干道——五圈路</t>
    <phoneticPr fontId="33"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</si>
  <si>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0041277</t>
    </r>
    <r>
      <rPr>
        <sz val="10"/>
        <color theme="1"/>
        <rFont val="宋体"/>
        <family val="3"/>
        <charset val="134"/>
      </rPr>
      <t>号</t>
    </r>
    <phoneticPr fontId="144" type="noConversion"/>
  </si>
  <si>
    <t>诺德中心二期</t>
    <phoneticPr fontId="4" type="noConversion"/>
  </si>
  <si>
    <t>丰台西南四环汽车博物馆东路</t>
    <phoneticPr fontId="4" type="noConversion"/>
  </si>
  <si>
    <t>华夏幸福创新中心</t>
    <phoneticPr fontId="4" type="noConversion"/>
  </si>
  <si>
    <t>丰台汽车博物馆8号院</t>
    <phoneticPr fontId="4" type="noConversion"/>
  </si>
  <si>
    <t>丰台区汽车博物馆东路1号院</t>
    <phoneticPr fontId="4"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</si>
  <si>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2" type="noConversion"/>
  </si>
  <si>
    <t>估价对象位于中关村软件园丰台科技园区，周边办公楼项目较多，如：诺德中心二期、三期、华夏幸福中心等，入驻率高，办公集聚程度较好</t>
    <phoneticPr fontId="26" type="noConversion"/>
  </si>
  <si>
    <t>城市次干道——五圈路</t>
    <phoneticPr fontId="33"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</si>
  <si>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2" type="noConversion"/>
  </si>
  <si>
    <t>区域基础设施水平为七通</t>
    <phoneticPr fontId="26" type="noConversion"/>
  </si>
  <si>
    <t>区域基础设施水平为七通</t>
    <phoneticPr fontId="33" type="noConversion"/>
  </si>
  <si>
    <t>精装</t>
  </si>
  <si>
    <t>位于中关村软件园丰台科技园区，周边办公楼项目较多，如：诺德中心三期、华夏幸福中心等，入驻率高，办公集聚程度较好</t>
    <phoneticPr fontId="33" type="noConversion"/>
  </si>
  <si>
    <t>位于中关村软件园丰台科技园区，周边办公楼项目较多，如：诺德中心二期、三期、华夏幸福中心等，入驻率高，办公集聚程度较好</t>
    <phoneticPr fontId="33" type="noConversion"/>
  </si>
  <si>
    <t>位于中关村软件园丰台科技园区，周边办公楼项目较多，如：诺德中心二期、三期等，入驻率高，办公集聚程度较好</t>
    <phoneticPr fontId="33"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</si>
  <si>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</si>
  <si>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</si>
  <si>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</si>
  <si>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</si>
  <si>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</si>
  <si>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</si>
  <si>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典型户型修正</t>
  </si>
  <si>
    <t>典型户型修正</t>
    <phoneticPr fontId="17" type="noConversion"/>
  </si>
  <si>
    <t>其余办公</t>
    <phoneticPr fontId="8" type="noConversion"/>
  </si>
  <si>
    <t>2019-1-0569-F02DYGJ2</t>
    <phoneticPr fontId="7" type="noConversion"/>
  </si>
  <si>
    <t>中国银行丰台支行</t>
    <phoneticPr fontId="7" type="noConversion"/>
  </si>
  <si>
    <r>
      <rPr>
        <sz val="12"/>
        <color theme="9" tint="-0.249977111117893"/>
        <rFont val="宋体"/>
        <family val="3"/>
        <charset val="134"/>
      </rPr>
      <t>办公</t>
    </r>
    <r>
      <rPr>
        <sz val="12"/>
        <color theme="9" tint="-0.249977111117893"/>
        <rFont val="Arial"/>
        <family val="2"/>
      </rPr>
      <t>41</t>
    </r>
    <r>
      <rPr>
        <sz val="12"/>
        <color theme="9" tint="-0.249977111117893"/>
        <rFont val="宋体"/>
        <family val="3"/>
        <charset val="134"/>
      </rPr>
      <t>年</t>
    </r>
    <phoneticPr fontId="7" type="noConversion"/>
  </si>
  <si>
    <t>收益法 (元)</t>
  </si>
  <si>
    <t>盈坤世纪</t>
    <phoneticPr fontId="4" type="noConversion"/>
  </si>
  <si>
    <t>华夏幸福创新中心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</si>
</sst>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38" fillId="0" borderId="0"/>
    <xf numFmtId="0" fontId="138" fillId="0" borderId="0"/>
  </cellStyleXfs>
  <cellXfs count="33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106" fillId="0" borderId="0" xfId="0" applyFont="1" applyAlignment="1">
      <alignment horizontal="left" vertical="center"/>
    </xf>
    <xf numFmtId="0" fontId="131" fillId="0" borderId="1" xfId="0" applyFont="1" applyBorder="1" applyAlignment="1">
      <alignment horizontal="left" vertical="center"/>
    </xf>
    <xf numFmtId="0" fontId="106" fillId="0" borderId="1" xfId="0" applyFont="1" applyBorder="1" applyAlignment="1">
      <alignment horizontal="left" vertical="center"/>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72" fillId="0" borderId="1" xfId="12" applyFont="1" applyBorder="1" applyAlignment="1" applyProtection="1">
      <alignment horizontal="center" vertical="center" wrapText="1"/>
      <protection locked="0"/>
    </xf>
    <xf numFmtId="0" fontId="109" fillId="0" borderId="1" xfId="0" applyFont="1" applyBorder="1" applyAlignment="1">
      <alignment horizontal="left" vertical="center"/>
    </xf>
    <xf numFmtId="0" fontId="131" fillId="0" borderId="0" xfId="0" applyFont="1" applyAlignment="1">
      <alignment horizontal="left" vertical="center"/>
    </xf>
    <xf numFmtId="0" fontId="100" fillId="0" borderId="0" xfId="10">
      <alignment vertical="center"/>
    </xf>
    <xf numFmtId="0" fontId="109"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18" borderId="54" xfId="0" applyNumberFormat="1" applyFont="1" applyFill="1" applyBorder="1" applyAlignment="1" applyProtection="1">
      <alignment horizontal="center" vertical="center" wrapText="1"/>
      <protection locked="0"/>
    </xf>
    <xf numFmtId="0" fontId="48" fillId="18" borderId="5" xfId="0" applyFont="1" applyFill="1" applyBorder="1" applyAlignment="1" applyProtection="1">
      <alignment horizontal="center" vertical="center" wrapText="1"/>
    </xf>
    <xf numFmtId="184" fontId="65" fillId="18" borderId="1" xfId="0" applyNumberFormat="1" applyFont="1" applyFill="1" applyBorder="1" applyAlignment="1" applyProtection="1">
      <alignment horizontal="center" vertical="center" shrinkToFit="1"/>
      <protection locked="0"/>
    </xf>
    <xf numFmtId="177" fontId="81" fillId="0" borderId="1" xfId="1" applyNumberFormat="1" applyFont="1" applyFill="1" applyBorder="1" applyAlignment="1" applyProtection="1">
      <alignment vertical="center"/>
      <protection locked="0" hidden="1"/>
    </xf>
    <xf numFmtId="181" fontId="106" fillId="17" borderId="1" xfId="0" applyNumberFormat="1" applyFont="1" applyFill="1" applyBorder="1" applyAlignment="1" applyProtection="1">
      <alignment horizontal="center" vertical="center"/>
      <protection locked="0"/>
    </xf>
    <xf numFmtId="177" fontId="51" fillId="17" borderId="1" xfId="1" applyNumberFormat="1" applyFont="1" applyFill="1" applyBorder="1" applyAlignment="1" applyProtection="1">
      <alignment horizontal="center" vertical="center"/>
      <protection locked="0"/>
    </xf>
    <xf numFmtId="9" fontId="51" fillId="17" borderId="5" xfId="0" applyNumberFormat="1" applyFont="1" applyFill="1" applyBorder="1" applyAlignment="1" applyProtection="1">
      <alignment horizontal="center" vertical="center"/>
      <protection locked="0"/>
    </xf>
    <xf numFmtId="0" fontId="51" fillId="17"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8" xfId="0" applyFont="1" applyFill="1" applyBorder="1" applyAlignment="1" applyProtection="1">
      <alignment horizontal="center" vertical="center" wrapText="1"/>
      <protection locked="0"/>
    </xf>
    <xf numFmtId="0" fontId="226" fillId="0" borderId="68"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9" fillId="0" borderId="5" xfId="0" applyFont="1" applyBorder="1" applyAlignment="1">
      <alignment horizontal="left" vertical="center"/>
    </xf>
    <xf numFmtId="0" fontId="109" fillId="0" borderId="54" xfId="0" applyFont="1" applyBorder="1" applyAlignment="1">
      <alignment horizontal="left" vertical="center"/>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北京市丰台区南四环西路128号院2号楼5层610等4套办公用房房地产抵押价值预评估</v>
      </c>
    </row>
    <row r="3" spans="1:2" s="1591" customFormat="1">
      <c r="A3" s="1589" t="s">
        <v>1217</v>
      </c>
      <c r="B3" s="1590" t="str">
        <f>'预评函-封皮'!B40</f>
        <v>北京凯普林光电科技股份有限公司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康正预评字2019-1-0569-F02DYGJ2号</v>
      </c>
    </row>
    <row r="6" spans="1:2" s="1588" customFormat="1" ht="15" thickTop="1">
      <c r="A6" s="1586" t="s">
        <v>1220</v>
      </c>
      <c r="B6" s="1587" t="str">
        <f>'预评函-1'!A4</f>
        <v>受贵公司委托，我公司对北京市丰台区南四环西路128号院2号楼5层610等4套办公用房房地产抵押价值进行了预评估。</v>
      </c>
    </row>
    <row r="7" spans="1:2" s="1591" customFormat="1">
      <c r="A7" s="1589" t="s">
        <v>1260</v>
      </c>
      <c r="B7" s="1590" t="str">
        <f>'预评函-1'!A7</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为估价委托人在向中国银行丰台支行办理贷款手续过程中，确定房地产抵押贷款额度提供参考依据而评估房地产抵押价值。</v>
      </c>
    </row>
    <row r="12" spans="1:2" s="1591" customFormat="1">
      <c r="A12" s="1589" t="s">
        <v>1222</v>
      </c>
      <c r="B12" s="1590" t="str">
        <f>'预评函-1'!A15</f>
        <v>2019年9月10日（评估专业人员实地查勘之日）</v>
      </c>
    </row>
    <row r="13" spans="1:2" s="1591" customFormat="1">
      <c r="A13" s="1589" t="s">
        <v>1223</v>
      </c>
      <c r="B13" s="1590" t="str">
        <f>'预评函-1'!A18</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1755</v>
      </c>
    </row>
    <row r="21" spans="1:2" s="1591" customFormat="1">
      <c r="A21" s="1589" t="s">
        <v>1231</v>
      </c>
      <c r="B21" s="1590">
        <f ca="1">'预评函-2'!D7</f>
        <v>40324</v>
      </c>
    </row>
    <row r="22" spans="1:2" s="1591" customFormat="1">
      <c r="A22" s="1589" t="s">
        <v>1232</v>
      </c>
      <c r="B22" s="1590" t="str">
        <f ca="1">'预评函-2'!D6</f>
        <v>壹仟柒佰伍拾伍万元整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1755</v>
      </c>
    </row>
    <row r="31" spans="1:2" s="1591" customFormat="1">
      <c r="A31" s="1589" t="s">
        <v>1270</v>
      </c>
      <c r="B31" s="1590">
        <f ca="1">'预评函-2'!D15</f>
        <v>40324</v>
      </c>
    </row>
    <row r="32" spans="1:2" s="1591" customFormat="1">
      <c r="A32" s="1589" t="s">
        <v>1237</v>
      </c>
      <c r="B32" s="1590" t="str">
        <f ca="1">'预评函-2'!D14</f>
        <v>壹仟柒佰伍拾伍万元整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北京市丰台区南四环西路128号院2号楼5层610等4套办公用房房地产</v>
      </c>
    </row>
    <row r="42" spans="1:2" s="1591" customFormat="1">
      <c r="A42" s="1589" t="s">
        <v>1284</v>
      </c>
      <c r="B42" s="1590" t="str">
        <f>'预评函-3'!B2</f>
        <v>建筑面积</v>
      </c>
    </row>
    <row r="43" spans="1:2" s="1591" customFormat="1">
      <c r="A43" s="1589" t="s">
        <v>1285</v>
      </c>
      <c r="B43" s="1590">
        <f>'预评函-3'!B4</f>
        <v>435.22</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3185</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南四环西路128号院2号楼5层610等4套办公用房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3"/>
      <c r="B54" s="2019" t="s">
        <v>861</v>
      </c>
      <c r="C54" s="2016" t="s">
        <v>1277</v>
      </c>
    </row>
    <row r="55" spans="1:4">
      <c r="A55" s="3053"/>
      <c r="B55" s="2019" t="s">
        <v>862</v>
      </c>
      <c r="C55" s="2016" t="s">
        <v>1278</v>
      </c>
    </row>
    <row r="56" spans="1:4">
      <c r="A56" s="3053"/>
      <c r="B56" s="2019" t="s">
        <v>863</v>
      </c>
      <c r="C56" s="2016" t="s">
        <v>1282</v>
      </c>
    </row>
    <row r="57" spans="1:4">
      <c r="A57" s="305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10" zoomScale="90" zoomScaleNormal="100" zoomScaleSheetLayoutView="90" workbookViewId="0">
      <selection activeCell="H25" sqref="H25"/>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4" t="str">
        <f>IF(B10="北京市","北京市",C10)&amp;F10&amp;IF(结果表!G1="在建","出让国有建设用地使用权及在建建筑物",IF(结果表!G1="土地","出让国有建设用地使用权",))&amp;B9&amp;"预评估"</f>
        <v>北京市丰台区南四环西路128号院2号楼5层610等4套办公用房房地产抵押价值预评估</v>
      </c>
      <c r="C1" s="3055"/>
      <c r="D1" s="3055"/>
      <c r="E1" s="3055"/>
      <c r="F1" s="3055"/>
      <c r="G1" s="3055"/>
      <c r="H1" s="3055"/>
      <c r="I1" s="305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北京市丰台区南四环西路128号院2号楼5层610等4套办公用房房地产抵押价值</v>
      </c>
    </row>
    <row r="2" spans="1:19" ht="18" customHeight="1">
      <c r="A2" s="2023" t="s">
        <v>1772</v>
      </c>
      <c r="B2" s="1038" t="s">
        <v>3187</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北京市丰台区南四环西路128号院2号楼5层610等4套办公用房房地产</v>
      </c>
    </row>
    <row r="3" spans="1:19" ht="18" customHeight="1">
      <c r="A3" s="2032" t="s">
        <v>1773</v>
      </c>
      <c r="B3" s="2033">
        <v>43718</v>
      </c>
      <c r="C3" s="2034" t="s">
        <v>1774</v>
      </c>
      <c r="D3" s="2033">
        <v>43718</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6">
        <f ca="1">SUMIF(注册房地产估价师,B4,估价师及机构信息!B3:B24)</f>
        <v>1120050019</v>
      </c>
      <c r="D4" s="2036" t="s">
        <v>3044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8"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0" t="s">
        <v>3188</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59" t="s">
        <v>3045</v>
      </c>
      <c r="C7" s="2045"/>
      <c r="D7" s="2046"/>
      <c r="E7" s="2031"/>
      <c r="F7" s="2039"/>
      <c r="G7" s="2039"/>
      <c r="H7" s="2039"/>
      <c r="I7" s="2039"/>
      <c r="J7" s="2039"/>
      <c r="K7" s="2048"/>
      <c r="L7" s="2025"/>
      <c r="M7" s="2025"/>
      <c r="N7" s="2026"/>
      <c r="O7" s="2027"/>
      <c r="P7" s="2026"/>
      <c r="Q7" s="2026"/>
      <c r="R7" s="2026"/>
    </row>
    <row r="8" spans="1:19" ht="18" customHeight="1">
      <c r="A8" s="2044" t="s">
        <v>1779</v>
      </c>
      <c r="B8" s="2049" t="s">
        <v>3046</v>
      </c>
      <c r="C8" s="2050"/>
      <c r="D8" s="3057" t="s">
        <v>1780</v>
      </c>
      <c r="E8" s="2051" t="s">
        <v>3047</v>
      </c>
      <c r="F8" s="2052"/>
      <c r="G8" s="2023"/>
      <c r="H8" s="2023"/>
      <c r="I8" s="2023"/>
      <c r="J8" s="2039"/>
      <c r="K8" s="2040"/>
      <c r="L8" s="2025"/>
      <c r="M8" s="2025"/>
      <c r="N8" s="2026"/>
      <c r="O8" s="2027"/>
      <c r="P8" s="2026"/>
      <c r="Q8" s="2026"/>
      <c r="R8" s="2026"/>
    </row>
    <row r="9" spans="1:19" ht="18" customHeight="1" thickBot="1">
      <c r="A9" s="2037" t="s">
        <v>1781</v>
      </c>
      <c r="B9" s="2053" t="s">
        <v>3047</v>
      </c>
      <c r="C9" s="2054"/>
      <c r="D9" s="3058"/>
      <c r="E9" s="2053" t="s">
        <v>70</v>
      </c>
      <c r="F9" s="2055"/>
      <c r="G9" s="2056"/>
      <c r="H9" s="2056"/>
      <c r="I9" s="2056"/>
      <c r="J9" s="2039"/>
      <c r="K9" s="2048"/>
      <c r="L9" s="2025"/>
      <c r="M9" s="2025"/>
      <c r="N9" s="2026"/>
      <c r="O9" s="2027"/>
      <c r="P9" s="2026"/>
      <c r="Q9" s="2026"/>
      <c r="R9" s="2026"/>
    </row>
    <row r="10" spans="1:19" ht="18" customHeight="1" thickTop="1">
      <c r="A10" s="2057" t="s">
        <v>1782</v>
      </c>
      <c r="B10" s="2058" t="s">
        <v>3048</v>
      </c>
      <c r="C10" s="2059"/>
      <c r="D10" s="2043"/>
      <c r="E10" s="2060" t="s">
        <v>1783</v>
      </c>
      <c r="F10" s="2061" t="s">
        <v>3049</v>
      </c>
      <c r="G10" s="2062"/>
      <c r="H10" s="2063"/>
      <c r="I10" s="2043"/>
      <c r="J10" s="2039"/>
      <c r="K10" s="2048"/>
      <c r="L10" s="2025"/>
      <c r="M10" s="2025"/>
      <c r="N10" s="2026"/>
      <c r="O10" s="2027"/>
      <c r="P10" s="2026"/>
      <c r="Q10" s="2026"/>
      <c r="R10" s="2026"/>
    </row>
    <row r="11" spans="1:19" ht="18" customHeight="1">
      <c r="A11" s="2064" t="s">
        <v>1784</v>
      </c>
      <c r="B11" s="2065" t="s">
        <v>3050</v>
      </c>
      <c r="C11" s="2961" t="s">
        <v>3045</v>
      </c>
      <c r="D11" s="2066"/>
      <c r="E11" s="2039"/>
      <c r="F11" s="2039"/>
      <c r="G11" s="2039"/>
      <c r="H11" s="2039"/>
      <c r="I11" s="2039"/>
      <c r="J11" s="2039"/>
      <c r="K11" s="2048"/>
      <c r="L11" s="2025"/>
      <c r="M11" s="2025"/>
      <c r="N11" s="2026"/>
      <c r="O11" s="2027"/>
      <c r="P11" s="2026"/>
      <c r="Q11" s="2026"/>
      <c r="R11" s="2026"/>
    </row>
    <row r="12" spans="1:19" ht="18" customHeight="1">
      <c r="A12" s="2067" t="s">
        <v>1785</v>
      </c>
      <c r="B12" s="2065" t="s">
        <v>3051</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c r="E13" s="2073"/>
      <c r="F13" s="3004">
        <v>58685</v>
      </c>
      <c r="G13" s="2073"/>
      <c r="H13" s="2073"/>
      <c r="I13" s="1046"/>
      <c r="J13" s="2039"/>
      <c r="K13" s="2048"/>
      <c r="L13" s="2025"/>
      <c r="M13" s="2025"/>
      <c r="N13" s="2026"/>
      <c r="O13" s="2027"/>
      <c r="P13" s="2026"/>
      <c r="Q13" s="2026"/>
      <c r="R13" s="2026"/>
    </row>
    <row r="14" spans="1:19" ht="18" customHeight="1">
      <c r="A14" s="2070"/>
      <c r="B14" s="2071"/>
      <c r="C14" s="2072" t="s">
        <v>1794</v>
      </c>
      <c r="D14" s="1049"/>
      <c r="E14" s="1049"/>
      <c r="F14" s="1049">
        <v>50</v>
      </c>
      <c r="G14" s="1049"/>
      <c r="H14" s="1049"/>
      <c r="I14" s="1049"/>
      <c r="J14" s="2039"/>
      <c r="K14" s="2074"/>
      <c r="L14" s="2025"/>
      <c r="M14" s="2025"/>
      <c r="N14" s="2026"/>
      <c r="O14" s="2027"/>
      <c r="P14" s="2026"/>
      <c r="Q14" s="2026"/>
      <c r="R14" s="2026"/>
    </row>
    <row r="15" spans="1:19" ht="18" customHeight="1">
      <c r="A15" s="2057"/>
      <c r="B15" s="2075"/>
      <c r="C15" s="2072" t="s">
        <v>1795</v>
      </c>
      <c r="D15" s="1048" t="str">
        <f>IF(B12="出让",IF(D13="","",ROUNDDOWN(MIN((D13-$D$3)/365,D14),2)),D14)</f>
        <v/>
      </c>
      <c r="E15" s="1048" t="str">
        <f>IF(B12="出让",IF(E13="","",ROUNDDOWN(MIN((E13-$D$3)/365,E14),2)),E14)</f>
        <v/>
      </c>
      <c r="F15" s="1048">
        <f>IF(B12="出让",IF(F13="","",ROUNDDOWN(MIN((F13-$D$3)/365,F14),2)),F14)</f>
        <v>41</v>
      </c>
      <c r="G15" s="1048" t="str">
        <f>IF(B12="出让",IF(G13="","",ROUNDDOWN(MIN((G13-$D$3)/365,G14),2)),G14)</f>
        <v/>
      </c>
      <c r="H15" s="1048" t="str">
        <f>IF(B12="出让",IF(H13="","",ROUNDDOWN(MIN((H13-$D$3)/365,H14),2)),H14)</f>
        <v/>
      </c>
      <c r="I15" s="1048" t="str">
        <f>IF(B12="出让",IF(I13="","",ROUNDDOWN(MIN((I13-$D$3)/365,I14),2)),I14)</f>
        <v/>
      </c>
      <c r="J15" s="2039"/>
      <c r="K15" s="2076"/>
      <c r="L15" s="2077"/>
      <c r="M15" s="2077"/>
      <c r="N15" s="2078"/>
      <c r="O15" s="2077"/>
      <c r="P15" s="2078"/>
      <c r="Q15" s="2026"/>
      <c r="R15" s="2026"/>
    </row>
    <row r="16" spans="1:19" ht="30.75" customHeight="1">
      <c r="A16" s="2060" t="s">
        <v>1796</v>
      </c>
      <c r="B16" s="3064" t="s">
        <v>3052</v>
      </c>
      <c r="C16" s="3065"/>
      <c r="D16" s="3066"/>
      <c r="E16" s="2079" t="s">
        <v>1797</v>
      </c>
      <c r="F16" s="3067" t="s">
        <v>3189</v>
      </c>
      <c r="G16" s="3068"/>
      <c r="H16" s="3068"/>
      <c r="I16" s="3069"/>
      <c r="J16" s="2026"/>
      <c r="K16" s="2076"/>
      <c r="L16" s="2077"/>
      <c r="M16" s="2077"/>
      <c r="N16" s="2078"/>
      <c r="O16" s="2077"/>
      <c r="P16" s="2078"/>
      <c r="Q16" s="2026"/>
      <c r="R16" s="2026"/>
    </row>
    <row r="17" spans="1:22" ht="18" customHeight="1">
      <c r="A17" s="2080" t="s">
        <v>1798</v>
      </c>
      <c r="B17" s="2032" t="s">
        <v>1799</v>
      </c>
      <c r="C17" s="1053">
        <f>'数据-汇总表'!E3</f>
        <v>435.22</v>
      </c>
      <c r="D17" s="2081" t="s">
        <v>1800</v>
      </c>
      <c r="E17" s="3070" t="s">
        <v>3068</v>
      </c>
      <c r="F17" s="3071"/>
      <c r="G17" s="3071"/>
      <c r="H17" s="3071"/>
      <c r="I17" s="3072"/>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0</v>
      </c>
      <c r="D18" s="2084" t="s">
        <v>1800</v>
      </c>
      <c r="E18" s="3073" t="s">
        <v>1803</v>
      </c>
      <c r="F18" s="3074"/>
      <c r="G18" s="3074"/>
      <c r="H18" s="3074"/>
      <c r="I18" s="3075"/>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3053</v>
      </c>
      <c r="D19" s="2086" t="s">
        <v>1806</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60" t="s">
        <v>1808</v>
      </c>
      <c r="C20" s="3061"/>
      <c r="D20" s="3062" t="s">
        <v>1809</v>
      </c>
      <c r="E20" s="3063"/>
      <c r="F20" s="2091" t="s">
        <v>1810</v>
      </c>
      <c r="G20" s="2039"/>
      <c r="H20" s="2039"/>
      <c r="I20" s="2039"/>
      <c r="J20" s="2039"/>
      <c r="K20" s="3059"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3054</v>
      </c>
      <c r="C21" s="2093" t="s">
        <v>3055</v>
      </c>
      <c r="D21" s="2094"/>
      <c r="E21" s="2095"/>
      <c r="F21" s="2096"/>
      <c r="G21" s="2039"/>
      <c r="H21" s="2039"/>
      <c r="I21" s="2039"/>
      <c r="J21" s="2039"/>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5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77" t="s">
        <v>1818</v>
      </c>
      <c r="B27" s="2057" t="s">
        <v>1819</v>
      </c>
      <c r="C27" s="2113" t="s">
        <v>3056</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7"/>
      <c r="B28" s="2032" t="s">
        <v>1820</v>
      </c>
      <c r="C28" s="2115" t="s">
        <v>3057</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7"/>
      <c r="B29" s="2032" t="s">
        <v>1821</v>
      </c>
      <c r="C29" s="2118" t="s">
        <v>3053</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8"/>
      <c r="B30" s="2032" t="s">
        <v>1822</v>
      </c>
      <c r="C30" s="3079"/>
      <c r="D30" s="3080"/>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81" t="s">
        <v>1823</v>
      </c>
      <c r="B31" s="2120" t="s">
        <v>3058</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82"/>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82"/>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3059</v>
      </c>
      <c r="C34" s="2127" t="s">
        <v>3060</v>
      </c>
      <c r="D34" s="2127" t="s">
        <v>3064</v>
      </c>
      <c r="E34" s="2127" t="s">
        <v>3061</v>
      </c>
      <c r="F34" s="2127" t="s">
        <v>3062</v>
      </c>
      <c r="G34" s="2127" t="s">
        <v>3063</v>
      </c>
      <c r="H34" s="2127"/>
      <c r="I34" s="2039"/>
      <c r="J34" s="2039"/>
      <c r="K34" s="1793">
        <f>COUNTIF(B34:H34,"——")</f>
        <v>0</v>
      </c>
      <c r="L34" s="2068" t="s">
        <v>1825</v>
      </c>
      <c r="M34" s="2068" t="s">
        <v>1826</v>
      </c>
      <c r="N34" s="2068" t="s">
        <v>1827</v>
      </c>
      <c r="O34" s="2068" t="s">
        <v>1828</v>
      </c>
      <c r="P34" s="2068" t="s">
        <v>1829</v>
      </c>
      <c r="Q34" s="2068" t="s">
        <v>1830</v>
      </c>
      <c r="R34" s="2068" t="s">
        <v>1831</v>
      </c>
      <c r="S34" s="3076" t="s">
        <v>1832</v>
      </c>
      <c r="T34" s="2128" t="str">
        <f>NUMBERSTRING(7-K34,1)&amp;"通"</f>
        <v>七通</v>
      </c>
      <c r="U34" s="2026"/>
      <c r="V34" s="2026"/>
    </row>
    <row r="35" spans="1:22" ht="18" customHeight="1">
      <c r="A35" s="2129"/>
      <c r="B35" s="3083" t="s">
        <v>1833</v>
      </c>
      <c r="C35" s="3083"/>
      <c r="D35" s="3083"/>
      <c r="E35" s="3083"/>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6"/>
      <c r="T35" s="48" t="str">
        <f>IF(T34="一通",L35,IF(T34="二通",M35,IF(T34="三通",N35,IF(T34="四通",O35,IF(T34="五通",P35,IF(T34="六通",Q35,R35))))))</f>
        <v>通路、通电、通讯、通上水、通下水、通热、</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523</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346</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6"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25" sqref="I25"/>
      <selection pane="topRight" activeCell="I25" sqref="I25"/>
      <selection pane="bottomLeft" activeCell="I25" sqref="I25"/>
      <selection pane="bottomRight" activeCell="C27" sqref="C2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435.22</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1"/>
      <c r="C5" s="1801"/>
      <c r="D5" s="1804"/>
      <c r="E5" s="16" t="s">
        <v>1</v>
      </c>
      <c r="F5" s="16">
        <f>SUM(F13:F587)</f>
        <v>0</v>
      </c>
      <c r="G5" s="16">
        <f>SUM(G13:G587)</f>
        <v>435.22</v>
      </c>
      <c r="H5" s="16">
        <f t="shared" ref="H5:AT5" si="0">SUM(H13:H656)</f>
        <v>435.22</v>
      </c>
      <c r="I5" s="16">
        <f t="shared" si="0"/>
        <v>435.22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435.22</v>
      </c>
      <c r="BA5" s="18">
        <f t="shared" si="1"/>
        <v>435.22</v>
      </c>
      <c r="BB5" s="18">
        <f t="shared" si="1"/>
        <v>435.22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1878</v>
      </c>
      <c r="AV7" s="23" t="s">
        <v>1879</v>
      </c>
      <c r="AW7" s="2160" t="s">
        <v>1880</v>
      </c>
      <c r="AX7" s="23" t="s">
        <v>1873</v>
      </c>
      <c r="AY7" s="1801"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6"/>
      <c r="K8" s="1816"/>
      <c r="L8" s="1816"/>
      <c r="M8" s="1816"/>
      <c r="N8" s="1816"/>
      <c r="O8" s="1816"/>
      <c r="P8" s="1816"/>
      <c r="Q8" s="1816"/>
      <c r="R8" s="1816"/>
      <c r="S8" s="1816"/>
      <c r="T8" s="1816"/>
      <c r="U8" s="1816"/>
      <c r="V8" s="2180"/>
      <c r="W8" s="1816"/>
      <c r="X8" s="1816"/>
      <c r="Y8" s="1816"/>
      <c r="Z8" s="1816"/>
      <c r="AA8" s="2180"/>
      <c r="AB8" s="2181"/>
      <c r="AC8" s="980" t="s">
        <v>1884</v>
      </c>
      <c r="AD8" s="2182"/>
      <c r="AE8" s="2174"/>
      <c r="AF8" s="1816"/>
      <c r="AG8" s="1816"/>
      <c r="AH8" s="1816"/>
      <c r="AI8" s="1816"/>
      <c r="AJ8" s="1816"/>
      <c r="AK8" s="1816"/>
      <c r="AL8" s="1816"/>
      <c r="AM8" s="1816"/>
      <c r="AN8" s="1816"/>
      <c r="AO8" s="1816"/>
      <c r="AP8" s="1816"/>
      <c r="AQ8" s="1816"/>
      <c r="AR8" s="1816"/>
      <c r="AS8" s="1816"/>
      <c r="AT8" s="1290" t="s">
        <v>1885</v>
      </c>
      <c r="AU8" s="2176" t="s">
        <v>1886</v>
      </c>
      <c r="AV8" s="1290"/>
      <c r="AW8" s="2159"/>
      <c r="AX8" s="1290"/>
      <c r="AY8" s="2160"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1889</v>
      </c>
      <c r="I9" s="2185" t="s">
        <v>3067</v>
      </c>
      <c r="J9" s="980"/>
      <c r="K9" s="2185"/>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80"/>
      <c r="K10" s="2191"/>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1899</v>
      </c>
      <c r="AE11" s="1817"/>
      <c r="AF11" s="2198" t="s">
        <v>1899</v>
      </c>
      <c r="AG11" s="1817"/>
      <c r="AH11" s="2198" t="s">
        <v>1900</v>
      </c>
      <c r="AI11" s="2199"/>
      <c r="AJ11" s="2198" t="s">
        <v>1900</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3"/>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62" t="s">
        <v>3066</v>
      </c>
      <c r="D13" s="2207" t="s">
        <v>3065</v>
      </c>
      <c r="E13" s="16">
        <f>IF($C$3="是",ROUND($A$3*G13/$B$3,2),ROUND($A$3*(G13-AT13)/$B$3,2))</f>
        <v>0</v>
      </c>
      <c r="F13" s="32"/>
      <c r="G13" s="33">
        <f>H13+AC13+AT13</f>
        <v>78.53</v>
      </c>
      <c r="H13" s="20">
        <f>SUMIF(I$12:AB$12,"总值",I13:AB13)</f>
        <v>78.53</v>
      </c>
      <c r="I13" s="2208">
        <v>78.53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0</v>
      </c>
      <c r="AZ13" s="16">
        <f>BA13+BL13</f>
        <v>78.53</v>
      </c>
      <c r="BA13" s="16">
        <f>SUM(BB13:BK13)</f>
        <v>78.53</v>
      </c>
      <c r="BB13" s="16">
        <f>IF($D13="是",I13-J13,0)</f>
        <v>78.53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62" t="s">
        <v>184</v>
      </c>
      <c r="D14" s="2207" t="s">
        <v>3065</v>
      </c>
      <c r="E14" s="16">
        <f>IF($C$3="是",ROUND($A$3*G14/$B$3,2),ROUND($A$3*(G14-AT14)/$B$3,2))</f>
        <v>0</v>
      </c>
      <c r="F14" s="32"/>
      <c r="G14" s="33">
        <f>H14+AC14+AT14</f>
        <v>119.78</v>
      </c>
      <c r="H14" s="20">
        <f>SUMIF(I$12:AB$12,"总值",I14:AB14)</f>
        <v>119.78</v>
      </c>
      <c r="I14" s="2208">
        <f>面积!F8</f>
        <v>119.78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C16</f>
        <v>办公</v>
      </c>
      <c r="AY14" s="1804">
        <f>ROUND($AY$6*AZ14/$AZ$5,2)</f>
        <v>0</v>
      </c>
      <c r="AZ14" s="16">
        <f>BA14+BL14</f>
        <v>119.78</v>
      </c>
      <c r="BA14" s="16">
        <f>SUM(BB14:BK14)</f>
        <v>119.78</v>
      </c>
      <c r="BB14" s="16">
        <f>IF($D14="是",I14-J14,0)</f>
        <v>119.78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62" t="s">
        <v>184</v>
      </c>
      <c r="D15" s="2207" t="s">
        <v>3065</v>
      </c>
      <c r="E15" s="16">
        <f>IF($C$3="是",ROUND($A$3*G15/$B$3,2),ROUND($A$3*(G15-AT15)/$B$3,2))</f>
        <v>0</v>
      </c>
      <c r="F15" s="32"/>
      <c r="G15" s="33">
        <f>H15+AC15+AT15</f>
        <v>78.53</v>
      </c>
      <c r="H15" s="20">
        <f>SUMIF(I$12:AB$12,"总值",I15:AB15)</f>
        <v>78.53</v>
      </c>
      <c r="I15" s="2208">
        <f>面积!F9</f>
        <v>78.53</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办公</v>
      </c>
      <c r="AY15" s="1804">
        <f>ROUND($AY$6*AZ15/$AZ$5,2)</f>
        <v>0</v>
      </c>
      <c r="AZ15" s="16">
        <f>BA15+BL15</f>
        <v>78.53</v>
      </c>
      <c r="BA15" s="16">
        <f>SUM(BB15:BK15)</f>
        <v>78.53</v>
      </c>
      <c r="BB15" s="16">
        <f>IF($D15="是",I15-J15,0)</f>
        <v>78.53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62" t="s">
        <v>184</v>
      </c>
      <c r="D16" s="2207" t="s">
        <v>3065</v>
      </c>
      <c r="E16" s="16">
        <f>IF($C$3="是",ROUND($A$3*G16/$B$3,2),ROUND($A$3*(G16-AT16)/$B$3,2))</f>
        <v>0</v>
      </c>
      <c r="F16" s="32"/>
      <c r="G16" s="33">
        <f>H16+AC16+AT16</f>
        <v>158.38</v>
      </c>
      <c r="H16" s="20">
        <f>SUMIF(I$12:AB$12,"总值",I16:AB16)</f>
        <v>158.38</v>
      </c>
      <c r="I16" s="2208">
        <f>面积!F10</f>
        <v>158.38</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e">
        <f>#REF!</f>
        <v>#REF!</v>
      </c>
      <c r="AY16" s="1804">
        <f>ROUND($AY$6*AZ16/$AZ$5,2)</f>
        <v>0</v>
      </c>
      <c r="AZ16" s="16">
        <f>BA16+BL16</f>
        <v>158.38</v>
      </c>
      <c r="BA16" s="16">
        <f>SUM(BB16:BK16)</f>
        <v>158.38</v>
      </c>
      <c r="BB16" s="16">
        <f>IF($D16="是",I16-J16,0)</f>
        <v>158.38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90"/>
      <c r="C1" s="1390"/>
      <c r="D1" s="1390"/>
      <c r="E1" s="1390"/>
      <c r="F1" s="1390"/>
      <c r="G1" s="1390"/>
      <c r="H1" s="1390"/>
      <c r="I1" s="1390"/>
      <c r="J1" s="1390"/>
      <c r="K1" s="1390"/>
      <c r="L1" s="1390"/>
      <c r="M1" s="1390"/>
      <c r="N1" s="1390"/>
      <c r="O1" s="1390"/>
      <c r="P1" s="1390"/>
    </row>
    <row r="2" spans="1:16" ht="15">
      <c r="A2" s="3095" t="s">
        <v>1929</v>
      </c>
      <c r="B2" s="3095"/>
      <c r="C2" s="3095"/>
      <c r="D2" s="966" t="s">
        <v>1905</v>
      </c>
      <c r="E2" s="2221" t="s">
        <v>1906</v>
      </c>
      <c r="F2" s="1390"/>
      <c r="G2" s="2222"/>
      <c r="H2" s="2223"/>
      <c r="I2" s="2224" t="s">
        <v>1930</v>
      </c>
      <c r="J2" s="1390"/>
      <c r="K2" s="1390"/>
      <c r="L2" s="1390"/>
      <c r="M2" s="1390"/>
      <c r="N2" s="1425"/>
      <c r="O2" s="1390"/>
      <c r="P2" s="1390"/>
    </row>
    <row r="3" spans="1:16" ht="15.75" thickBot="1">
      <c r="A3" s="3096" t="s">
        <v>1903</v>
      </c>
      <c r="B3" s="3096"/>
      <c r="C3" s="3096"/>
      <c r="D3" s="46">
        <f>'数据-基础表'!AY6</f>
        <v>0</v>
      </c>
      <c r="E3" s="46">
        <f>'数据-基础表'!AZ5</f>
        <v>435.22</v>
      </c>
      <c r="F3" s="1390"/>
      <c r="G3" s="1397"/>
      <c r="H3" s="1245" t="s">
        <v>1904</v>
      </c>
      <c r="I3" s="55" t="e">
        <f>ROUND('数据-基础表'!B3/'数据-基础表'!A3,2)</f>
        <v>#DIV/0!</v>
      </c>
      <c r="J3" s="1390"/>
      <c r="K3" s="1390"/>
      <c r="L3" s="1390"/>
      <c r="M3" s="1390"/>
      <c r="N3" s="1425"/>
      <c r="O3" s="1390"/>
      <c r="P3" s="1390"/>
    </row>
    <row r="4" spans="1:16" ht="15">
      <c r="A4" s="3097"/>
      <c r="B4" s="3098"/>
      <c r="C4" s="3099"/>
      <c r="D4" s="2225" t="s">
        <v>1905</v>
      </c>
      <c r="E4" s="2226" t="s">
        <v>1906</v>
      </c>
      <c r="F4" s="1390"/>
      <c r="G4" s="2227" t="s">
        <v>1931</v>
      </c>
      <c r="H4" s="1245" t="s">
        <v>1911</v>
      </c>
      <c r="I4" s="55" t="e">
        <f>ROUND(SUMIF('数据-基础表'!I9:AS9,"地上",'数据-基础表'!I5:AS5)/'数据-基础表'!A3,2)</f>
        <v>#DIV/0!</v>
      </c>
      <c r="J4" s="1390"/>
      <c r="K4" s="1390"/>
      <c r="L4" s="1390"/>
      <c r="M4" s="1390"/>
      <c r="N4" s="1425"/>
      <c r="O4" s="1390"/>
      <c r="P4" s="1390"/>
    </row>
    <row r="5" spans="1:16">
      <c r="A5" s="47" t="s">
        <v>1907</v>
      </c>
      <c r="B5" s="3100" t="s">
        <v>1908</v>
      </c>
      <c r="C5" s="3100"/>
      <c r="D5" s="48">
        <f>ROUND($D$3*E5/$E$3,2)</f>
        <v>0</v>
      </c>
      <c r="E5" s="49">
        <f>SUMIF('数据-基础表'!$11:$11,"住宅",'数据-基础表'!$5:$5)</f>
        <v>0</v>
      </c>
      <c r="F5" s="1390"/>
      <c r="G5" s="1397"/>
      <c r="H5" s="1245" t="s">
        <v>1904</v>
      </c>
      <c r="I5" s="55" t="e">
        <f>ROUND(E31/D31,2)</f>
        <v>#DIV/0!</v>
      </c>
      <c r="J5" s="1390"/>
      <c r="K5" s="1390"/>
      <c r="L5" s="1390"/>
      <c r="M5" s="1390"/>
      <c r="N5" s="1390"/>
      <c r="O5" s="1390"/>
      <c r="P5" s="1390"/>
    </row>
    <row r="6" spans="1:16" ht="15" thickBot="1">
      <c r="A6" s="2228"/>
      <c r="B6" s="3100" t="s">
        <v>1909</v>
      </c>
      <c r="C6" s="3100"/>
      <c r="D6" s="48">
        <f>ROUND($D$3*E6/$E$3,2)</f>
        <v>0</v>
      </c>
      <c r="E6" s="49">
        <f>E3-E5</f>
        <v>435.22</v>
      </c>
      <c r="F6" s="1390"/>
      <c r="G6" s="2229" t="s">
        <v>1910</v>
      </c>
      <c r="H6" s="1397" t="s">
        <v>1911</v>
      </c>
      <c r="I6" s="938" t="e">
        <f>ROUND(F31/D31,2)</f>
        <v>#DIV/0!</v>
      </c>
      <c r="J6" s="1390"/>
      <c r="K6" s="1390"/>
      <c r="L6" s="1390"/>
      <c r="M6" s="1390"/>
      <c r="N6" s="1390"/>
      <c r="O6" s="1390"/>
      <c r="P6" s="1390"/>
    </row>
    <row r="7" spans="1:16" ht="15">
      <c r="A7" s="3092"/>
      <c r="B7" s="3093"/>
      <c r="C7" s="3094"/>
      <c r="D7" s="2225" t="s">
        <v>1905</v>
      </c>
      <c r="E7" s="2230" t="s">
        <v>1912</v>
      </c>
      <c r="F7" s="1390"/>
      <c r="G7" s="2222" t="s">
        <v>1913</v>
      </c>
      <c r="H7" s="64"/>
      <c r="I7" s="420">
        <v>5.4</v>
      </c>
      <c r="J7" s="1390"/>
      <c r="K7" s="1390"/>
      <c r="L7" s="1390"/>
      <c r="M7" s="1390"/>
      <c r="N7" s="1390"/>
      <c r="O7" s="1390"/>
      <c r="P7" s="1390"/>
    </row>
    <row r="8" spans="1:16">
      <c r="A8" s="47" t="s">
        <v>1914</v>
      </c>
      <c r="B8" s="50" t="s">
        <v>1915</v>
      </c>
      <c r="C8" s="48" t="s">
        <v>1916</v>
      </c>
      <c r="D8" s="48">
        <f t="shared" ref="D8:D15" si="0">ROUND($D$3*E8/$E$3,2)</f>
        <v>0</v>
      </c>
      <c r="E8" s="51">
        <f>SUMIF('数据-基础表'!BB10:BK10,"地上",'数据-基础表'!BB5:BK5)</f>
        <v>435.22</v>
      </c>
      <c r="F8" s="1390"/>
      <c r="G8" s="2231"/>
      <c r="H8" s="2231"/>
      <c r="I8" s="1390"/>
      <c r="J8" s="1390"/>
      <c r="K8" s="1390"/>
      <c r="L8" s="1390"/>
      <c r="M8" s="1390"/>
      <c r="N8" s="1390"/>
      <c r="O8" s="1390"/>
      <c r="P8" s="1390"/>
    </row>
    <row r="9" spans="1:16">
      <c r="A9" s="2232"/>
      <c r="B9" s="2233"/>
      <c r="C9" s="48" t="s">
        <v>1917</v>
      </c>
      <c r="D9" s="48">
        <f t="shared" si="0"/>
        <v>0</v>
      </c>
      <c r="E9" s="52">
        <v>0</v>
      </c>
      <c r="F9" s="1390"/>
      <c r="G9" s="2231"/>
      <c r="H9" s="2231"/>
      <c r="I9" s="1390"/>
      <c r="J9" s="1390"/>
      <c r="K9" s="1390"/>
      <c r="L9" s="1390"/>
      <c r="M9" s="1390"/>
      <c r="N9" s="1390"/>
      <c r="O9" s="1390"/>
      <c r="P9" s="1390"/>
    </row>
    <row r="10" spans="1:16">
      <c r="A10" s="2232"/>
      <c r="B10" s="2233"/>
      <c r="C10" s="48" t="s">
        <v>1926</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1918</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1919</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1920</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1932</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1927</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1921</v>
      </c>
      <c r="D16" s="50">
        <f>SUM(D8:D15)</f>
        <v>0</v>
      </c>
      <c r="E16" s="53">
        <f>SUM(E8:E15)</f>
        <v>435.22</v>
      </c>
      <c r="F16" s="1390"/>
      <c r="G16" s="2231"/>
      <c r="H16" s="2234" t="s">
        <v>1933</v>
      </c>
      <c r="I16" s="2235"/>
      <c r="J16" s="1390"/>
      <c r="K16" s="3089" t="s">
        <v>1933</v>
      </c>
      <c r="L16" s="3090"/>
      <c r="M16" s="3090"/>
      <c r="N16" s="3090"/>
      <c r="O16" s="3090"/>
      <c r="P16" s="3091"/>
    </row>
    <row r="17" spans="1:19" ht="15">
      <c r="A17" s="2236" t="s">
        <v>1934</v>
      </c>
      <c r="B17" s="2237" t="s">
        <v>1935</v>
      </c>
      <c r="C17" s="2238" t="s">
        <v>1936</v>
      </c>
      <c r="D17" s="2239" t="s">
        <v>1924</v>
      </c>
      <c r="E17" s="2240" t="s">
        <v>1925</v>
      </c>
      <c r="F17" s="2241"/>
      <c r="G17" s="2242"/>
      <c r="H17" s="2243" t="s">
        <v>1937</v>
      </c>
      <c r="I17" s="2244" t="s">
        <v>1922</v>
      </c>
      <c r="J17" s="1390"/>
      <c r="K17" s="3086" t="s">
        <v>1938</v>
      </c>
      <c r="L17" s="3087"/>
      <c r="M17" s="3088"/>
      <c r="N17" s="3086" t="s">
        <v>1939</v>
      </c>
      <c r="O17" s="3087"/>
      <c r="P17" s="3088"/>
      <c r="R17" s="2222" t="s">
        <v>1940</v>
      </c>
      <c r="S17" s="64"/>
    </row>
    <row r="18" spans="1:19" ht="15">
      <c r="A18" s="2232"/>
      <c r="B18" s="2245"/>
      <c r="C18" s="2246"/>
      <c r="D18" s="2247"/>
      <c r="E18" s="2248" t="s">
        <v>1941</v>
      </c>
      <c r="F18" s="2249" t="s">
        <v>1942</v>
      </c>
      <c r="G18" s="2250" t="s">
        <v>1943</v>
      </c>
      <c r="H18" s="1260" t="s">
        <v>1944</v>
      </c>
      <c r="I18" s="2251" t="s">
        <v>1945</v>
      </c>
      <c r="J18" s="1390"/>
      <c r="K18" s="1260" t="s">
        <v>1946</v>
      </c>
      <c r="L18" s="2252" t="s">
        <v>1947</v>
      </c>
      <c r="M18" s="1045" t="s">
        <v>1948</v>
      </c>
      <c r="N18" s="1260" t="s">
        <v>1946</v>
      </c>
      <c r="O18" s="2252" t="s">
        <v>1947</v>
      </c>
      <c r="P18" s="1045" t="s">
        <v>1948</v>
      </c>
      <c r="R18" s="1245" t="s">
        <v>1949</v>
      </c>
      <c r="S18" s="1245" t="s">
        <v>1950</v>
      </c>
    </row>
    <row r="19" spans="1:19">
      <c r="A19" s="2253"/>
      <c r="B19" s="50" t="s">
        <v>1923</v>
      </c>
      <c r="C19" s="2254" t="str">
        <f>'数据-基础表'!C13</f>
        <v>办公</v>
      </c>
      <c r="D19" s="48">
        <f>ROUND($D$3*E19/$E$3,2)</f>
        <v>0</v>
      </c>
      <c r="E19" s="56">
        <f t="shared" ref="E19:E26" si="1">SUM(F19:G19)</f>
        <v>78.53</v>
      </c>
      <c r="F19" s="57">
        <f>'数据-基础表'!I13</f>
        <v>78.53</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78.53</v>
      </c>
    </row>
    <row r="20" spans="1:19">
      <c r="A20" s="2257"/>
      <c r="B20" s="50" t="s">
        <v>1951</v>
      </c>
      <c r="C20" s="3005" t="s">
        <v>3186</v>
      </c>
      <c r="D20" s="48">
        <f t="shared" ref="D20:D26" si="6">ROUND($D$3*E20/$E$3,2)</f>
        <v>0</v>
      </c>
      <c r="E20" s="56">
        <f t="shared" si="1"/>
        <v>356.69</v>
      </c>
      <c r="F20" s="57">
        <f>'数据-基础表'!I14+'数据-基础表'!I15+'数据-基础表'!I16</f>
        <v>356.69</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356.69</v>
      </c>
    </row>
    <row r="21" spans="1:19">
      <c r="A21" s="2257"/>
      <c r="B21" s="50" t="s">
        <v>1951</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1951</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1951</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1951</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1951</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1951</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1952</v>
      </c>
      <c r="D27" s="1391">
        <f>SUM(D19:D26)</f>
        <v>0</v>
      </c>
      <c r="E27" s="1392">
        <f>IF(SUM(E19:E26)='数据-基础表'!BA5,SUM(E19:E26),IF(F27="地上面积有误","面积有误","地下面积有误"))</f>
        <v>435.22</v>
      </c>
      <c r="F27" s="1391">
        <f>IF(SUM(F19:F26)=E8,SUM(F19:F26),"地上面积有误")</f>
        <v>435.22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435.22</v>
      </c>
    </row>
    <row r="28" spans="1:19">
      <c r="A28" s="2257"/>
      <c r="B28" s="50" t="s">
        <v>1953</v>
      </c>
      <c r="C28" s="1257" t="s">
        <v>1954</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1953</v>
      </c>
      <c r="C29" s="2261" t="s">
        <v>1955</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1956</v>
      </c>
      <c r="D31" s="728">
        <f>D27+D30</f>
        <v>0</v>
      </c>
      <c r="E31" s="728">
        <f>E27+E30</f>
        <v>435.22</v>
      </c>
      <c r="F31" s="729">
        <f>F27+F30</f>
        <v>435.22</v>
      </c>
      <c r="G31" s="730">
        <f>G27+G30</f>
        <v>0</v>
      </c>
      <c r="H31" s="1390"/>
      <c r="I31" s="1390"/>
      <c r="J31" s="1390"/>
      <c r="K31" s="1390"/>
      <c r="L31" s="1390"/>
      <c r="M31" s="1390"/>
      <c r="N31" s="1390"/>
      <c r="O31" s="1390"/>
      <c r="P31" s="1390"/>
    </row>
    <row r="32" spans="1:19">
      <c r="A32" s="2227"/>
      <c r="B32" s="2227" t="s">
        <v>1957</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I25" sqref="I25"/>
      <selection pane="topRight" activeCell="I25" sqref="I25"/>
      <selection pane="bottomLeft" activeCell="I25" sqref="I25"/>
      <selection pane="bottomRight" activeCell="H25" sqref="H2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1959</v>
      </c>
      <c r="B2" s="1264">
        <f>项目基本情况!D3</f>
        <v>43718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6" t="s">
        <v>1970</v>
      </c>
      <c r="F5" s="2287" t="s">
        <v>1971</v>
      </c>
      <c r="G5" s="1266" t="s">
        <v>1972</v>
      </c>
      <c r="H5" s="1266" t="s">
        <v>1973</v>
      </c>
      <c r="I5" s="1266" t="s">
        <v>1974</v>
      </c>
      <c r="J5" s="2288" t="s">
        <v>1975</v>
      </c>
      <c r="K5" s="2289" t="s">
        <v>1976</v>
      </c>
      <c r="L5" s="2290" t="s">
        <v>1977</v>
      </c>
      <c r="M5" s="2291" t="s">
        <v>1978</v>
      </c>
      <c r="N5" s="2292" t="s">
        <v>3084</v>
      </c>
      <c r="O5" s="2290" t="s">
        <v>1979</v>
      </c>
      <c r="P5" s="2293" t="s">
        <v>1980</v>
      </c>
      <c r="Q5" s="69" t="s">
        <v>1981</v>
      </c>
      <c r="R5" s="2294" t="s">
        <v>1982</v>
      </c>
      <c r="S5" s="2295" t="s">
        <v>1983</v>
      </c>
      <c r="T5" s="2296" t="s">
        <v>1984</v>
      </c>
      <c r="U5" s="1265" t="s">
        <v>1985</v>
      </c>
      <c r="V5" s="1266" t="s">
        <v>1986</v>
      </c>
      <c r="W5" s="1266" t="s">
        <v>1987</v>
      </c>
      <c r="X5" s="71"/>
      <c r="Y5" s="70" t="s">
        <v>1988</v>
      </c>
      <c r="Z5" s="2297" t="s">
        <v>1985</v>
      </c>
      <c r="AA5" s="1266" t="s">
        <v>1986</v>
      </c>
      <c r="AB5" s="1266" t="s">
        <v>1987</v>
      </c>
      <c r="AC5" s="71"/>
      <c r="AD5" s="71" t="s">
        <v>1988</v>
      </c>
      <c r="AE5" s="1265" t="s">
        <v>1989</v>
      </c>
      <c r="AF5" s="1266" t="s">
        <v>1990</v>
      </c>
      <c r="AG5" s="70" t="s">
        <v>1991</v>
      </c>
      <c r="AH5" s="1265" t="s">
        <v>1992</v>
      </c>
      <c r="AI5" s="2297" t="s">
        <v>1993</v>
      </c>
      <c r="AJ5" s="2297" t="s">
        <v>1994</v>
      </c>
      <c r="AK5" s="1266" t="s">
        <v>1995</v>
      </c>
      <c r="AL5" s="1266" t="s">
        <v>1996</v>
      </c>
      <c r="AM5" s="70" t="s">
        <v>1997</v>
      </c>
      <c r="AN5" s="2298" t="s">
        <v>1998</v>
      </c>
      <c r="AO5" s="2068" t="s">
        <v>1999</v>
      </c>
      <c r="AP5" s="1247"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58685</v>
      </c>
      <c r="F6" s="72">
        <f>SUMIF(项目基本情况!D$12:I$12,C6,项目基本情况!D$15:I$15)</f>
        <v>41</v>
      </c>
      <c r="G6" s="73">
        <f>IF(ISERROR(ROUND(POWER(1+H6,D6-F6)*(POWER(1+H6,F6)-1)/(POWER(1+H6,D6)-1),3)),0,ROUND(POWER(1+H6,D6-F6)*(POWER(1+H6,F6)-1)/(POWER(1+H6,D6)-1),3))</f>
        <v>0.93899999999999995</v>
      </c>
      <c r="H6" s="801">
        <v>4.4999999999999998E-2</v>
      </c>
      <c r="I6" s="3006">
        <v>5.5E-2</v>
      </c>
      <c r="J6" s="74">
        <v>0.08</v>
      </c>
      <c r="K6" s="1249">
        <f>SUMIF('数据-汇总表'!C$19:C$33,A6,'数据-汇总表'!E$19:E$33)</f>
        <v>78.53</v>
      </c>
      <c r="L6" s="3007">
        <v>4000</v>
      </c>
      <c r="M6" s="75">
        <f t="shared" ref="M6:M14" si="0">ROUND(K6*L6/10000,0)</f>
        <v>31</v>
      </c>
      <c r="N6" s="800">
        <f>N20</f>
        <v>0.88</v>
      </c>
      <c r="O6" s="75" t="str">
        <f>IF($N$5="成新度","——",ROUND(M6*N6,0))</f>
        <v>——</v>
      </c>
      <c r="P6" s="76" t="str">
        <f>IF($N$5="成新度","——",M6-O6)</f>
        <v>——</v>
      </c>
      <c r="Q6" s="3008">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5.5</v>
      </c>
      <c r="V6" s="79">
        <v>0.03</v>
      </c>
      <c r="W6" s="79">
        <v>0.1</v>
      </c>
      <c r="X6" s="1259"/>
      <c r="Y6" s="80">
        <f>N6</f>
        <v>0.88</v>
      </c>
      <c r="Z6" s="81"/>
      <c r="AA6" s="74"/>
      <c r="AB6" s="74"/>
      <c r="AC6" s="1259"/>
      <c r="AD6" s="82"/>
      <c r="AE6" s="1260">
        <f ca="1">IF(AN6="",0,SUMIF(INDIRECT("'"&amp;AN6&amp;"'"&amp;"!E:E"),$AE$5,INDIRECT("'"&amp;AN6&amp;"'"&amp;"!F:F")))</f>
        <v>41</v>
      </c>
      <c r="AF6" s="1802"/>
      <c r="AG6" s="147">
        <f>IF(AF6="",0,AE6-AF6)</f>
        <v>0</v>
      </c>
      <c r="AH6" s="83"/>
      <c r="AI6" s="85">
        <v>365</v>
      </c>
      <c r="AJ6" s="86"/>
      <c r="AK6" s="87">
        <v>1.4999999999999999E-2</v>
      </c>
      <c r="AL6" s="88">
        <v>1.5E-3</v>
      </c>
      <c r="AM6" s="89">
        <v>0.01</v>
      </c>
      <c r="AN6" s="2303" t="s">
        <v>3190</v>
      </c>
      <c r="AO6" s="55">
        <f ca="1">SUMIF(INDIRECT("'"&amp;AN6&amp;"'"&amp;"!A:A"),"总价",INDIRECT("'"&amp;AN6&amp;"'"&amp;"!B:B"))</f>
        <v>273</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其余办公</v>
      </c>
      <c r="B7" s="2301" t="str">
        <f t="shared" ref="B7:B13" si="1">IF(A7=0,"","经营性")</f>
        <v>经营性</v>
      </c>
      <c r="C7" s="2302"/>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356.69</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4"/>
      <c r="D16" s="2308"/>
      <c r="E16" s="97"/>
      <c r="F16" s="97"/>
      <c r="G16" s="98">
        <f>ROUND(SUMPRODUCT(G6:G13,K6:K13)/SUMPRODUCT((G6:G13&gt;0)*(K6:K13)),3)</f>
        <v>0.93899999999999995</v>
      </c>
      <c r="H16" s="99">
        <f>ROUND(SUMPRODUCT(H6:H13,K6:K13)/SUMPRODUCT((H6:H13&gt;0)*(K6:K13)),3)</f>
        <v>4.4999999999999998E-2</v>
      </c>
      <c r="I16" s="100"/>
      <c r="J16" s="100"/>
      <c r="K16" s="101">
        <f>SUM(K6:K15)</f>
        <v>435.22</v>
      </c>
      <c r="L16" s="102">
        <f>ROUND(M16*10000/SUM(K6:K14),0)</f>
        <v>712</v>
      </c>
      <c r="M16" s="102">
        <f>SUM(M6:M14)</f>
        <v>31</v>
      </c>
      <c r="N16" s="103">
        <f>ROUND(SUMPRODUCT(M6:M14,N6:N14)/M16,3)</f>
        <v>0.88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2009</v>
      </c>
      <c r="B19" s="112">
        <v>0</v>
      </c>
      <c r="C19" s="2271" t="s">
        <v>2010</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2011</v>
      </c>
      <c r="B20" s="113">
        <v>2</v>
      </c>
      <c r="C20" s="2271" t="s">
        <v>2012</v>
      </c>
      <c r="D20" s="2272"/>
      <c r="E20" s="2271"/>
      <c r="F20" s="2271"/>
      <c r="G20" s="2271"/>
      <c r="H20" s="2271"/>
      <c r="I20" s="2271"/>
      <c r="J20" s="2271"/>
      <c r="K20" s="168"/>
      <c r="L20" s="168"/>
      <c r="M20" s="1579"/>
      <c r="N20" s="1579">
        <f>ROUND(1-(2019-2012)/60,2)</f>
        <v>0.88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2013</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2014</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2015</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2016</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2017</v>
      </c>
      <c r="B26" s="2314" t="s">
        <v>2018</v>
      </c>
      <c r="C26" s="2315" t="s">
        <v>2019</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2020</v>
      </c>
      <c r="B27" s="116">
        <v>160</v>
      </c>
      <c r="C27" s="1762" t="s">
        <v>2021</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2022</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2023</v>
      </c>
      <c r="B29" s="121"/>
      <c r="C29" s="1762" t="s">
        <v>2024</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2025</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2026</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2027</v>
      </c>
      <c r="B32" s="724"/>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2028</v>
      </c>
      <c r="B33" s="725">
        <v>0.03</v>
      </c>
      <c r="C33" s="1761" t="s">
        <v>2029</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2030</v>
      </c>
      <c r="B34" s="122">
        <v>0</v>
      </c>
      <c r="C34" s="1761" t="s">
        <v>2031</v>
      </c>
      <c r="D34" s="2272" t="s">
        <v>2032</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2033</v>
      </c>
      <c r="B35" s="119">
        <v>200</v>
      </c>
      <c r="C35" s="1761" t="s">
        <v>2034</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2035</v>
      </c>
      <c r="B36" s="123">
        <v>1.4999999999999999E-2</v>
      </c>
      <c r="C36" s="1761" t="s">
        <v>2036</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2037</v>
      </c>
      <c r="B37" s="124">
        <v>0.02</v>
      </c>
      <c r="C37" s="1761" t="s">
        <v>2038</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2039</v>
      </c>
      <c r="B38" s="122">
        <v>0.02</v>
      </c>
      <c r="C38" s="1761" t="s">
        <v>2038</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2040</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2041</v>
      </c>
      <c r="B40" s="1298">
        <f ca="1">存贷款利率!G1</f>
        <v>4.7500000000000001E-2</v>
      </c>
      <c r="C40" s="1761" t="s">
        <v>2042</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2043</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2044</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2045</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2046</v>
      </c>
      <c r="B44" s="128">
        <v>7.0000000000000007E-2</v>
      </c>
      <c r="C44" s="1761" t="s">
        <v>2047</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2048</v>
      </c>
      <c r="B45" s="126">
        <v>0.03</v>
      </c>
      <c r="C45" s="1762" t="s">
        <v>2049</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2050</v>
      </c>
      <c r="B46" s="126">
        <v>0.02</v>
      </c>
      <c r="C46" s="1762" t="s">
        <v>2051</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2052</v>
      </c>
      <c r="B47" s="129">
        <v>0</v>
      </c>
      <c r="C47" s="1762" t="s">
        <v>2053</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2054</v>
      </c>
      <c r="B48" s="130">
        <v>0.03</v>
      </c>
      <c r="C48" s="1769" t="s">
        <v>2055</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2056</v>
      </c>
      <c r="B49" s="126">
        <v>5.0000000000000001E-4</v>
      </c>
      <c r="C49" s="1769" t="s">
        <v>2057</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2058</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2059</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2060</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2061</v>
      </c>
      <c r="B53" s="2330" t="s">
        <v>523</v>
      </c>
      <c r="C53" s="1425" t="s">
        <v>2062</v>
      </c>
      <c r="D53" s="2331" t="s">
        <v>2063</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2064</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2065</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2066</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2067</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2068</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2069</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2070</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2071</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2072</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2073</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7" sqref="F7"/>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01" t="s">
        <v>2074</v>
      </c>
      <c r="B1" s="3102"/>
      <c r="C1" s="3102"/>
      <c r="D1" s="3102"/>
      <c r="E1" s="3102"/>
      <c r="F1" s="3102"/>
      <c r="G1" s="310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42.75">
      <c r="A3" s="415" t="s">
        <v>2077</v>
      </c>
      <c r="B3" s="1266" t="s">
        <v>2078</v>
      </c>
      <c r="C3" s="2973"/>
      <c r="D3" s="2364"/>
      <c r="E3" s="431" t="s">
        <v>2077</v>
      </c>
      <c r="F3" s="2365" t="s">
        <v>2079</v>
      </c>
      <c r="G3" s="2366" t="s">
        <v>2080</v>
      </c>
      <c r="H3" s="2362"/>
      <c r="I3" s="2362"/>
      <c r="J3" s="2362"/>
      <c r="K3" s="2362"/>
      <c r="L3" s="2362"/>
      <c r="M3" s="2362"/>
      <c r="N3" s="2362"/>
      <c r="O3" s="2362"/>
      <c r="P3" s="2362"/>
      <c r="Q3" s="2362"/>
      <c r="R3" s="2362"/>
    </row>
    <row r="4" spans="1:29" ht="40.5">
      <c r="A4" s="431"/>
      <c r="B4" s="1793" t="s">
        <v>2081</v>
      </c>
      <c r="C4" s="2367"/>
      <c r="D4" s="2364"/>
      <c r="E4" s="2368"/>
      <c r="F4" s="42" t="s">
        <v>2082</v>
      </c>
      <c r="G4" s="2369" t="s">
        <v>2083</v>
      </c>
      <c r="H4" s="2362"/>
      <c r="I4" s="2362"/>
      <c r="J4" s="2362"/>
      <c r="K4" s="2362"/>
      <c r="L4" s="2362"/>
      <c r="M4" s="2362"/>
      <c r="N4" s="2362"/>
      <c r="O4" s="2362"/>
      <c r="P4" s="2362"/>
      <c r="Q4" s="2362"/>
      <c r="R4" s="2362"/>
    </row>
    <row r="5" spans="1:29" ht="81">
      <c r="A5" s="431"/>
      <c r="B5" s="1793" t="s">
        <v>2084</v>
      </c>
      <c r="C5" s="2974" t="s">
        <v>3169</v>
      </c>
      <c r="D5" s="2364"/>
      <c r="E5" s="2368"/>
      <c r="F5" s="1793" t="s">
        <v>2085</v>
      </c>
      <c r="G5" s="2369" t="s">
        <v>2086</v>
      </c>
      <c r="H5" s="2362"/>
      <c r="I5" s="2362"/>
      <c r="J5" s="2362"/>
      <c r="K5" s="2362"/>
      <c r="L5" s="2362"/>
      <c r="M5" s="2362"/>
      <c r="N5" s="2362"/>
      <c r="O5" s="2362"/>
      <c r="P5" s="2362"/>
      <c r="Q5" s="2362"/>
      <c r="R5" s="2362"/>
    </row>
    <row r="6" spans="1:29" ht="135">
      <c r="A6" s="431"/>
      <c r="B6" s="1793" t="s">
        <v>2087</v>
      </c>
      <c r="C6" s="2975" t="s">
        <v>3168</v>
      </c>
      <c r="D6" s="2364"/>
      <c r="E6" s="2368"/>
      <c r="F6" s="1793" t="s">
        <v>2088</v>
      </c>
      <c r="G6" s="2369" t="s">
        <v>2089</v>
      </c>
      <c r="H6" s="2362"/>
      <c r="I6" s="2362"/>
      <c r="J6" s="2362"/>
      <c r="K6" s="2362"/>
      <c r="L6" s="2362"/>
      <c r="M6" s="2362"/>
      <c r="N6" s="2362"/>
      <c r="O6" s="2362"/>
      <c r="P6" s="2362"/>
      <c r="Q6" s="2362"/>
      <c r="R6" s="2362"/>
    </row>
    <row r="7" spans="1:29" ht="135.75" thickBot="1">
      <c r="A7" s="431"/>
      <c r="B7" s="1793" t="s">
        <v>2085</v>
      </c>
      <c r="C7" s="2975" t="s">
        <v>3171</v>
      </c>
      <c r="D7" s="2370"/>
      <c r="E7" s="2371"/>
      <c r="F7" s="2372" t="s">
        <v>2090</v>
      </c>
      <c r="G7" s="2373" t="s">
        <v>2091</v>
      </c>
      <c r="H7" s="2362"/>
      <c r="I7" s="2362"/>
      <c r="J7" s="2362"/>
      <c r="K7" s="2362"/>
      <c r="L7" s="2362"/>
      <c r="M7" s="2362"/>
      <c r="N7" s="2362"/>
      <c r="O7" s="2362"/>
      <c r="P7" s="2362"/>
      <c r="Q7" s="2362"/>
      <c r="R7" s="2362"/>
    </row>
    <row r="8" spans="1:29" ht="15">
      <c r="A8" s="431"/>
      <c r="B8" s="1793" t="s">
        <v>2088</v>
      </c>
      <c r="C8" s="2975" t="s">
        <v>3172</v>
      </c>
      <c r="D8" s="2370"/>
      <c r="E8" s="2370"/>
      <c r="F8" s="1132"/>
      <c r="G8" s="1132"/>
      <c r="H8" s="2362"/>
      <c r="I8" s="2362"/>
      <c r="J8" s="2362"/>
      <c r="K8" s="2362"/>
      <c r="L8" s="2362"/>
      <c r="M8" s="2362"/>
      <c r="N8" s="2362"/>
      <c r="O8" s="2362"/>
      <c r="P8" s="2362"/>
      <c r="Q8" s="2362"/>
      <c r="R8" s="2362"/>
    </row>
    <row r="9" spans="1:29" ht="121.5">
      <c r="A9" s="431"/>
      <c r="B9" s="1793" t="s">
        <v>2092</v>
      </c>
      <c r="C9" s="2974" t="s">
        <v>3181</v>
      </c>
      <c r="D9" s="2364"/>
      <c r="E9" s="2370"/>
      <c r="F9" s="1132"/>
      <c r="G9" s="1132"/>
      <c r="H9" s="2362"/>
      <c r="I9" s="2362"/>
      <c r="J9" s="2362"/>
      <c r="K9" s="2362"/>
      <c r="L9" s="2362"/>
      <c r="M9" s="2362"/>
      <c r="N9" s="2362"/>
      <c r="O9" s="2362"/>
      <c r="P9" s="2362"/>
      <c r="Q9" s="2362"/>
      <c r="R9" s="2362"/>
    </row>
    <row r="10" spans="1:29" s="117" customFormat="1" ht="15.75" thickBot="1">
      <c r="A10" s="2374"/>
      <c r="B10" s="2375" t="s">
        <v>2093</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2094</v>
      </c>
      <c r="B13" s="2381"/>
      <c r="C13" s="2381"/>
      <c r="D13" s="2388"/>
      <c r="E13" s="2381"/>
      <c r="F13" s="2381"/>
      <c r="G13" s="2381"/>
    </row>
    <row r="14" spans="1:29" ht="15.75" thickBot="1">
      <c r="A14" s="2392"/>
      <c r="B14" s="2393"/>
      <c r="C14" s="2394" t="s">
        <v>2095</v>
      </c>
      <c r="D14" s="2364"/>
      <c r="E14" s="2395"/>
      <c r="F14" s="2395"/>
      <c r="G14" s="2359" t="s">
        <v>2096</v>
      </c>
    </row>
    <row r="15" spans="1:29" ht="42.75">
      <c r="A15" s="68" t="s">
        <v>2097</v>
      </c>
      <c r="B15" s="1265" t="s">
        <v>2078</v>
      </c>
      <c r="C15" s="2396">
        <f>C3</f>
        <v>0</v>
      </c>
      <c r="D15" s="2364"/>
      <c r="E15" s="2397" t="s">
        <v>2098</v>
      </c>
      <c r="F15" s="1265" t="s">
        <v>2099</v>
      </c>
      <c r="G15" s="135" t="str">
        <f>G3</f>
        <v>估价对象位于XX开发区，园区建设成熟度XX，产业集聚程度XX</v>
      </c>
    </row>
    <row r="16" spans="1:29" ht="42.75">
      <c r="A16" s="645"/>
      <c r="B16" s="2398" t="s">
        <v>2081</v>
      </c>
      <c r="C16" s="2399">
        <f>C4</f>
        <v>0</v>
      </c>
      <c r="D16" s="2364"/>
      <c r="E16" s="2400"/>
      <c r="F16" s="2401" t="s">
        <v>2082</v>
      </c>
      <c r="G16" s="136" t="str">
        <f>G4</f>
        <v>估价对象周边道路状况、公共交通通达情况、停车便捷程度，综合评价交通便捷度较好</v>
      </c>
    </row>
    <row r="17" spans="1:18" ht="85.5">
      <c r="A17" s="645"/>
      <c r="B17" s="2398" t="s">
        <v>2084</v>
      </c>
      <c r="C17" s="2399" t="str">
        <f>C5</f>
        <v>估价对象位于中关村软件园丰台科技园区，周边办公楼项目较多，如：诺德中心二期、三期、华夏幸福中心等，入驻率高，办公集聚程度较好</v>
      </c>
      <c r="D17" s="2370"/>
      <c r="E17" s="2400"/>
      <c r="F17" s="2401" t="s">
        <v>2100</v>
      </c>
      <c r="G17" s="1567"/>
    </row>
    <row r="18" spans="1:18" ht="142.5">
      <c r="A18" s="645"/>
      <c r="B18" s="2401" t="s">
        <v>2087</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70"/>
      <c r="E18" s="2400"/>
      <c r="F18" s="2401" t="s">
        <v>2090</v>
      </c>
      <c r="G18" s="136" t="str">
        <f>G7</f>
        <v>该园区内是否有污染型企业，绿化情况，卫生条件，整体环境状况判断</v>
      </c>
    </row>
    <row r="19" spans="1:18" ht="28.5">
      <c r="A19" s="645"/>
      <c r="B19" s="2401" t="s">
        <v>2101</v>
      </c>
      <c r="C19" s="1567"/>
      <c r="D19" s="2364"/>
      <c r="E19" s="2400"/>
      <c r="F19" s="1793" t="s">
        <v>2085</v>
      </c>
      <c r="G19" s="136" t="str">
        <f>G5</f>
        <v>估价对象所在区域公共配套设施齐备情况</v>
      </c>
    </row>
    <row r="20" spans="1:18" ht="128.25">
      <c r="A20" s="645"/>
      <c r="B20" s="2401" t="s">
        <v>2102</v>
      </c>
      <c r="C20" s="2399"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70"/>
      <c r="E20" s="2400"/>
      <c r="F20" s="1793" t="s">
        <v>2103</v>
      </c>
      <c r="G20" s="136" t="str">
        <f>G6</f>
        <v>估价对象所在区域基础设施水平</v>
      </c>
    </row>
    <row r="21" spans="1:18" ht="142.5">
      <c r="A21" s="645"/>
      <c r="B21" s="1793" t="s">
        <v>2085</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4"/>
      <c r="E21" s="2400"/>
      <c r="F21" s="2401" t="s">
        <v>2104</v>
      </c>
      <c r="G21" s="2402"/>
    </row>
    <row r="22" spans="1:18" ht="13.5" customHeight="1">
      <c r="A22" s="645"/>
      <c r="B22" s="1793" t="s">
        <v>2088</v>
      </c>
      <c r="C22" s="136" t="str">
        <f>C8</f>
        <v>区域基础设施水平为七通</v>
      </c>
      <c r="D22" s="2364"/>
      <c r="E22" s="2400"/>
      <c r="F22" s="2401" t="s">
        <v>2093</v>
      </c>
      <c r="G22" s="1567"/>
    </row>
    <row r="23" spans="1:18" s="2362"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2"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435.22</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43718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1755</v>
      </c>
      <c r="C5" s="1741">
        <f ca="1">ROUND(B5*10000/$B$1,0)</f>
        <v>40324</v>
      </c>
      <c r="D5" s="1741" t="e">
        <f ca="1">ROUND(B5*10000/$B$2,0)</f>
        <v>#DIV/0!</v>
      </c>
      <c r="E5" s="1740"/>
      <c r="F5" s="1738"/>
      <c r="G5" s="1738"/>
    </row>
    <row r="6" spans="1:10" ht="16.5">
      <c r="A6" s="1741" t="s">
        <v>1352</v>
      </c>
      <c r="B6" s="1741">
        <f ca="1">SUM(G14:G23)</f>
        <v>1755</v>
      </c>
      <c r="C6" s="1741">
        <f ca="1">ROUND(B6*10000/$B$1,0)</f>
        <v>40324</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435.22</v>
      </c>
      <c r="C14" s="1739">
        <f>结果表!C118</f>
        <v>0</v>
      </c>
      <c r="D14" s="1739">
        <f ca="1">结果表!H118</f>
        <v>1755</v>
      </c>
      <c r="E14" s="1739">
        <f ca="1">ROUND(D14*10000/B14,0)</f>
        <v>40324</v>
      </c>
      <c r="F14" s="1739" t="e">
        <f ca="1">ROUND(D14*10000/C14,0)</f>
        <v>#DIV/0!</v>
      </c>
      <c r="G14" s="1739">
        <f ca="1">结果表!D122</f>
        <v>1755</v>
      </c>
      <c r="H14" s="1739" t="str">
        <f>结果表!D124</f>
        <v>——</v>
      </c>
      <c r="I14" s="1739" t="str">
        <f>结果表!D126</f>
        <v>——</v>
      </c>
      <c r="J14" s="1738"/>
    </row>
    <row r="15" spans="1:10" ht="16.5">
      <c r="A15" s="1737" t="s">
        <v>1345</v>
      </c>
      <c r="B15" s="2976"/>
      <c r="C15" s="2976"/>
      <c r="D15" s="2976"/>
      <c r="E15" s="1739" t="e">
        <f t="shared" ref="E15:E23" si="0">ROUND(D15*10000/B15,0)</f>
        <v>#DIV/0!</v>
      </c>
      <c r="F15" s="1739" t="e">
        <f t="shared" ref="F15:F23" si="1">ROUND(D15*10000/C15,0)</f>
        <v>#DIV/0!</v>
      </c>
      <c r="G15" s="2976"/>
      <c r="H15" s="1745"/>
      <c r="I15" s="1744"/>
      <c r="J15" s="1738"/>
    </row>
    <row r="16" spans="1:10" ht="16.5">
      <c r="A16" s="1737" t="s">
        <v>1344</v>
      </c>
      <c r="B16" s="2976"/>
      <c r="C16" s="2976"/>
      <c r="D16" s="2976"/>
      <c r="E16" s="1739" t="e">
        <f t="shared" si="0"/>
        <v>#DIV/0!</v>
      </c>
      <c r="F16" s="1739" t="e">
        <f t="shared" si="1"/>
        <v>#DIV/0!</v>
      </c>
      <c r="G16" s="2976"/>
      <c r="H16" s="1745"/>
      <c r="I16" s="1744"/>
    </row>
    <row r="17" spans="1:9" ht="16.5">
      <c r="A17" s="1737" t="s">
        <v>1343</v>
      </c>
      <c r="B17" s="2976"/>
      <c r="C17" s="2976"/>
      <c r="D17" s="2976"/>
      <c r="E17" s="1739" t="e">
        <f t="shared" si="0"/>
        <v>#DIV/0!</v>
      </c>
      <c r="F17" s="1739" t="e">
        <f t="shared" si="1"/>
        <v>#DIV/0!</v>
      </c>
      <c r="G17" s="2976"/>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c r="D1" s="2412"/>
      <c r="E1" s="2412"/>
      <c r="F1" s="2414" t="s">
        <v>2108</v>
      </c>
      <c r="G1" s="2065" t="s">
        <v>3058</v>
      </c>
      <c r="H1" s="2415" t="str">
        <f>IF(G1="现房","——","估价对象范围")</f>
        <v>——</v>
      </c>
      <c r="I1" s="2416"/>
    </row>
    <row r="2" spans="1:12" ht="21.75" customHeight="1" thickBot="1">
      <c r="A2" s="3175" t="str">
        <f>项目基本情况!S2</f>
        <v>北京市丰台区南四环西路128号院2号楼5层610等4套办公用房房地产</v>
      </c>
      <c r="B2" s="3176"/>
      <c r="C2" s="3176"/>
      <c r="D2" s="3176"/>
      <c r="E2" s="3176"/>
      <c r="F2" s="3176"/>
      <c r="G2" s="3176"/>
      <c r="H2" s="3176"/>
      <c r="I2" s="3177"/>
    </row>
    <row r="3" spans="1:12" ht="12.75">
      <c r="A3" s="3178" t="s">
        <v>2109</v>
      </c>
      <c r="B3" s="3179"/>
      <c r="C3" s="3179"/>
      <c r="D3" s="3179"/>
      <c r="E3" s="3179"/>
      <c r="F3" s="3179"/>
      <c r="G3" s="3179"/>
      <c r="H3" s="3179"/>
      <c r="I3" s="3179"/>
    </row>
    <row r="4" spans="1:12" ht="14.25">
      <c r="A4" s="2419" t="s">
        <v>2110</v>
      </c>
      <c r="B4" s="2420" t="s">
        <v>2111</v>
      </c>
      <c r="C4" s="2421" t="s">
        <v>3184</v>
      </c>
      <c r="D4" s="2421" t="s">
        <v>3184</v>
      </c>
      <c r="E4" s="3159" t="s">
        <v>2112</v>
      </c>
      <c r="F4" s="3172"/>
      <c r="G4" s="3172"/>
      <c r="H4" s="3172"/>
      <c r="I4" s="3160"/>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0" t="s">
        <v>2113</v>
      </c>
      <c r="B5" s="3076">
        <v>25</v>
      </c>
      <c r="C5" s="3180"/>
      <c r="D5" s="3168"/>
      <c r="E5" s="140" t="s">
        <v>2114</v>
      </c>
      <c r="F5" s="2423"/>
      <c r="G5" s="2423"/>
      <c r="H5" s="2423"/>
      <c r="I5" s="1829"/>
    </row>
    <row r="6" spans="1:12" ht="12.75">
      <c r="A6" s="3150"/>
      <c r="B6" s="3076"/>
      <c r="C6" s="3182"/>
      <c r="D6" s="3168"/>
      <c r="E6" s="140" t="s">
        <v>2115</v>
      </c>
      <c r="F6" s="2423"/>
      <c r="G6" s="2423"/>
      <c r="H6" s="2423"/>
      <c r="I6" s="1829"/>
    </row>
    <row r="7" spans="1:12" ht="12.75">
      <c r="A7" s="3150"/>
      <c r="B7" s="3076"/>
      <c r="C7" s="3181"/>
      <c r="D7" s="3168"/>
      <c r="E7" s="140" t="s">
        <v>2116</v>
      </c>
      <c r="F7" s="2423"/>
      <c r="G7" s="2423"/>
      <c r="H7" s="2423"/>
      <c r="I7" s="1829"/>
    </row>
    <row r="8" spans="1:12" ht="12.75">
      <c r="A8" s="3150" t="s">
        <v>2117</v>
      </c>
      <c r="B8" s="3076">
        <v>15</v>
      </c>
      <c r="C8" s="3180"/>
      <c r="D8" s="3168"/>
      <c r="E8" s="140" t="s">
        <v>2118</v>
      </c>
      <c r="F8" s="2423"/>
      <c r="G8" s="2423"/>
      <c r="H8" s="2423"/>
      <c r="I8" s="1829"/>
    </row>
    <row r="9" spans="1:12" ht="12.75">
      <c r="A9" s="3150"/>
      <c r="B9" s="3076"/>
      <c r="C9" s="3181"/>
      <c r="D9" s="3168"/>
      <c r="E9" s="140" t="s">
        <v>2119</v>
      </c>
      <c r="F9" s="2423"/>
      <c r="G9" s="2423"/>
      <c r="H9" s="2423"/>
      <c r="I9" s="1829"/>
    </row>
    <row r="10" spans="1:12" ht="12.75">
      <c r="A10" s="3150" t="s">
        <v>2120</v>
      </c>
      <c r="B10" s="3076">
        <v>15</v>
      </c>
      <c r="C10" s="3180"/>
      <c r="D10" s="3168"/>
      <c r="E10" s="140" t="s">
        <v>2121</v>
      </c>
      <c r="F10" s="2423"/>
      <c r="G10" s="2423"/>
      <c r="H10" s="2423"/>
      <c r="I10" s="1829"/>
    </row>
    <row r="11" spans="1:12" ht="12.75">
      <c r="A11" s="3150"/>
      <c r="B11" s="3076"/>
      <c r="C11" s="3181"/>
      <c r="D11" s="3168"/>
      <c r="E11" s="140" t="s">
        <v>2122</v>
      </c>
      <c r="F11" s="2423"/>
      <c r="G11" s="2423"/>
      <c r="H11" s="2423"/>
      <c r="I11" s="1829"/>
    </row>
    <row r="12" spans="1:12" ht="12.75">
      <c r="A12" s="3150" t="s">
        <v>2123</v>
      </c>
      <c r="B12" s="3076">
        <v>15</v>
      </c>
      <c r="C12" s="3180"/>
      <c r="D12" s="3168"/>
      <c r="E12" s="140" t="s">
        <v>2124</v>
      </c>
      <c r="F12" s="2423"/>
      <c r="G12" s="2423"/>
      <c r="H12" s="2423"/>
      <c r="I12" s="1829"/>
    </row>
    <row r="13" spans="1:12" ht="12.75">
      <c r="A13" s="3150"/>
      <c r="B13" s="3076"/>
      <c r="C13" s="3181"/>
      <c r="D13" s="3168"/>
      <c r="E13" s="140" t="s">
        <v>2125</v>
      </c>
      <c r="F13" s="2423"/>
      <c r="G13" s="2423"/>
      <c r="H13" s="2423"/>
      <c r="I13" s="1829"/>
    </row>
    <row r="14" spans="1:12" ht="12.75">
      <c r="A14" s="3150" t="s">
        <v>2126</v>
      </c>
      <c r="B14" s="3076">
        <v>30</v>
      </c>
      <c r="C14" s="3180">
        <v>1</v>
      </c>
      <c r="D14" s="3168">
        <v>0</v>
      </c>
      <c r="E14" s="140" t="s">
        <v>2127</v>
      </c>
      <c r="F14" s="2423"/>
      <c r="G14" s="2423"/>
      <c r="H14" s="2423"/>
      <c r="I14" s="1829"/>
    </row>
    <row r="15" spans="1:12" ht="12.75">
      <c r="A15" s="3150"/>
      <c r="B15" s="3076"/>
      <c r="C15" s="3182"/>
      <c r="D15" s="3168"/>
      <c r="E15" s="140" t="s">
        <v>2128</v>
      </c>
      <c r="F15" s="2423"/>
      <c r="G15" s="2423"/>
      <c r="H15" s="2423"/>
      <c r="I15" s="1829"/>
    </row>
    <row r="16" spans="1:12" ht="12.75">
      <c r="A16" s="3150"/>
      <c r="B16" s="3076"/>
      <c r="C16" s="3181"/>
      <c r="D16" s="3168"/>
      <c r="E16" s="140" t="s">
        <v>2129</v>
      </c>
      <c r="F16" s="2423"/>
      <c r="G16" s="2423"/>
      <c r="H16" s="2423"/>
      <c r="I16" s="1829"/>
    </row>
    <row r="17" spans="1:35" ht="15">
      <c r="A17" s="2424" t="s">
        <v>2130</v>
      </c>
      <c r="B17" s="64"/>
      <c r="C17" s="141">
        <f>SUM(C5:C16)</f>
        <v>1</v>
      </c>
      <c r="D17" s="141">
        <f>SUM(D5:D16)</f>
        <v>0</v>
      </c>
      <c r="E17" s="138"/>
      <c r="F17" s="138"/>
      <c r="G17" s="138"/>
      <c r="H17" s="138"/>
      <c r="I17" s="138"/>
      <c r="K17" s="2422"/>
      <c r="L17" s="2425" t="s">
        <v>2131</v>
      </c>
      <c r="M17" s="2425" t="s">
        <v>2132</v>
      </c>
    </row>
    <row r="18" spans="1:35" ht="15.75" thickBot="1">
      <c r="A18" s="2426" t="s">
        <v>2133</v>
      </c>
      <c r="B18" s="2427"/>
      <c r="C18" s="142">
        <f>ROUND(C17/SUM(C17:D17),2)</f>
        <v>1</v>
      </c>
      <c r="D18" s="142">
        <f>1-C18</f>
        <v>0</v>
      </c>
      <c r="E18" s="138"/>
      <c r="F18" s="138"/>
      <c r="G18" s="138"/>
      <c r="H18" s="138"/>
      <c r="I18" s="138"/>
      <c r="K18" s="2422" t="s">
        <v>2134</v>
      </c>
      <c r="L18" s="2422">
        <f>IF(C1="",'数据-汇总表'!E3,SUMIF(项目类型,C1,'数据-汇总表'!E17:E26)+SUMIF(项目类型,C1,'数据-汇总表'!I17:I26))</f>
        <v>435.22</v>
      </c>
      <c r="M18" s="2422">
        <f>IF(C1="",'数据-汇总表'!E3,SUMIF(项目类型,C1,'数据-汇总表'!E17:E26))</f>
        <v>435.22</v>
      </c>
    </row>
    <row r="19" spans="1:35" ht="15">
      <c r="A19" s="2428" t="s">
        <v>2135</v>
      </c>
      <c r="B19" s="2429" t="s">
        <v>2136</v>
      </c>
      <c r="C19" s="143">
        <f ca="1">SUMIF(INDIRECT("'"&amp;C4&amp;"'"&amp;"!A:A"),结果表!B19,INDIRECT("'"&amp;C4&amp;"'"&amp;"!B:B"))</f>
        <v>1755</v>
      </c>
      <c r="D19" s="144">
        <f ca="1">SUMIF(INDIRECT("'"&amp;D4&amp;"'"&amp;"!A:A"),结果表!B19,INDIRECT("'"&amp;D4&amp;"'"&amp;"!B:B"))</f>
        <v>1755</v>
      </c>
      <c r="E19" s="2428" t="s">
        <v>2137</v>
      </c>
      <c r="F19" s="2429" t="s">
        <v>2136</v>
      </c>
      <c r="G19" s="145">
        <f ca="1">ROUND(C19*$C$18+D19*$D$18,0)</f>
        <v>1755</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SUMIF(INDIRECT("'"&amp;C4&amp;"'"&amp;"!A:A"),结果表!B20,INDIRECT("'"&amp;C4&amp;"'"&amp;"!B:B"))</f>
        <v>40324</v>
      </c>
      <c r="D20" s="147">
        <f ca="1">SUMIF(INDIRECT("'"&amp;D4&amp;"'"&amp;"!A:A"),结果表!B20,INDIRECT("'"&amp;D4&amp;"'"&amp;"!B:B"))</f>
        <v>40324</v>
      </c>
      <c r="E20" s="2431"/>
      <c r="F20" s="1245" t="s">
        <v>2140</v>
      </c>
      <c r="G20" s="148">
        <f ca="1">ROUND(C20*$C$18+D20*$D$18,0)</f>
        <v>40324</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v>
      </c>
      <c r="E22" s="138"/>
      <c r="F22" s="138"/>
      <c r="G22" s="138"/>
      <c r="H22" s="138"/>
      <c r="I22" s="138"/>
    </row>
    <row r="23" spans="1:35" ht="13.5" thickBot="1">
      <c r="A23" s="2412"/>
      <c r="B23" s="2412"/>
      <c r="C23" s="2412"/>
      <c r="D23" s="2412"/>
      <c r="E23" s="138"/>
      <c r="F23" s="138"/>
      <c r="G23" s="138"/>
      <c r="H23" s="138"/>
      <c r="I23" s="138"/>
    </row>
    <row r="24" spans="1:35" ht="14.25">
      <c r="A24" s="3189" t="s">
        <v>2144</v>
      </c>
      <c r="B24" s="2429" t="s">
        <v>2136</v>
      </c>
      <c r="C24" s="145">
        <f>IF(B30=0,0,D30)</f>
        <v>0</v>
      </c>
      <c r="D24" s="2436"/>
      <c r="E24" s="138"/>
      <c r="F24" s="138"/>
      <c r="G24" s="138"/>
      <c r="H24" s="138"/>
      <c r="I24" s="138"/>
    </row>
    <row r="25" spans="1:35" ht="14.25">
      <c r="A25" s="3190"/>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1755</v>
      </c>
      <c r="D32" s="2443" t="s">
        <v>2151</v>
      </c>
      <c r="E32" s="138"/>
      <c r="F32" s="138"/>
      <c r="G32" s="138"/>
      <c r="H32" s="138"/>
      <c r="I32" s="138"/>
    </row>
    <row r="33" spans="1:15" ht="15">
      <c r="A33" s="956" t="s">
        <v>2152</v>
      </c>
      <c r="B33" s="2444"/>
      <c r="C33" s="2445"/>
      <c r="D33" s="2446"/>
      <c r="E33" s="2447" t="s">
        <v>2153</v>
      </c>
      <c r="F33" s="244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9" t="s">
        <v>2158</v>
      </c>
      <c r="B36" s="2455" t="s">
        <v>2159</v>
      </c>
      <c r="C36" s="154"/>
      <c r="D36" s="2456"/>
      <c r="E36" s="2457"/>
      <c r="F36" s="2458"/>
      <c r="G36" s="138"/>
      <c r="H36" s="138"/>
      <c r="I36" s="138"/>
    </row>
    <row r="37" spans="1:15" ht="15.75" thickBot="1">
      <c r="A37" s="3170"/>
      <c r="B37" s="2261" t="s">
        <v>2160</v>
      </c>
      <c r="C37" s="156"/>
      <c r="D37" s="1390"/>
      <c r="E37" s="1390"/>
      <c r="F37" s="2458"/>
      <c r="G37" s="138"/>
      <c r="H37" s="138"/>
      <c r="I37" s="138"/>
    </row>
    <row r="38" spans="1:15" ht="15.75" thickBot="1">
      <c r="A38" s="3171"/>
      <c r="B38" s="2459" t="s">
        <v>2161</v>
      </c>
      <c r="C38" s="726"/>
      <c r="D38" s="2460" t="s">
        <v>2162</v>
      </c>
      <c r="E38" s="1390"/>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6" t="s">
        <v>2172</v>
      </c>
      <c r="B45" s="3187"/>
      <c r="C45" s="3188"/>
      <c r="D45" s="164">
        <f ca="1">ROUND(H101*F45,0)</f>
        <v>1755</v>
      </c>
      <c r="E45" s="165" t="s">
        <v>2173</v>
      </c>
      <c r="F45" s="166">
        <v>1</v>
      </c>
      <c r="G45" s="167" t="s">
        <v>2174</v>
      </c>
      <c r="H45" s="138"/>
      <c r="I45" s="138"/>
      <c r="J45" s="3105" t="s">
        <v>2175</v>
      </c>
      <c r="K45" s="3105"/>
      <c r="L45" s="3105"/>
      <c r="M45" s="3105"/>
      <c r="N45" s="3105"/>
      <c r="O45" s="3105"/>
    </row>
    <row r="46" spans="1:15" ht="14.25" customHeight="1">
      <c r="A46" s="3183" t="s">
        <v>2176</v>
      </c>
      <c r="B46" s="3184"/>
      <c r="C46" s="3184"/>
      <c r="D46" s="3184"/>
      <c r="E46" s="3184"/>
      <c r="F46" s="3184"/>
      <c r="G46" s="3185"/>
      <c r="H46" s="2474"/>
      <c r="I46" s="168"/>
      <c r="J46" s="1807">
        <v>1</v>
      </c>
      <c r="K46" s="3105" t="s">
        <v>2177</v>
      </c>
      <c r="L46" s="3105"/>
      <c r="M46" s="3106"/>
      <c r="N46" s="3106"/>
      <c r="O46" s="3106"/>
    </row>
    <row r="47" spans="1:15" ht="12" customHeight="1">
      <c r="A47" s="169" t="s">
        <v>2178</v>
      </c>
      <c r="B47" s="170"/>
      <c r="C47" s="171"/>
      <c r="D47" s="172" t="s">
        <v>2179</v>
      </c>
      <c r="E47" s="24" t="s">
        <v>2180</v>
      </c>
      <c r="F47" s="173" t="s">
        <v>2181</v>
      </c>
      <c r="G47" s="174" t="s">
        <v>2182</v>
      </c>
      <c r="H47" s="2474"/>
      <c r="I47" s="168"/>
      <c r="J47" s="1807">
        <v>2</v>
      </c>
      <c r="K47" s="3105" t="s">
        <v>2183</v>
      </c>
      <c r="L47" s="3105"/>
      <c r="M47" s="3107">
        <f>'数据-取费表'!B2</f>
        <v>43718</v>
      </c>
      <c r="N47" s="3107"/>
      <c r="O47" s="3107"/>
    </row>
    <row r="48" spans="1:15" ht="25.5">
      <c r="A48" s="3173" t="s">
        <v>2184</v>
      </c>
      <c r="B48" s="3174"/>
      <c r="C48" s="3174"/>
      <c r="D48" s="140">
        <f>IF(H48="情况1",0,IF(H48="情况2",D52,IF(H48="情况3",D53,IF(H48="情况4",D54))))</f>
        <v>0</v>
      </c>
      <c r="E48" s="1796" t="str">
        <f>IF(H48="情况4","(销售额-原购置价)×税（费）率","销售额×税（费）率")</f>
        <v>销售额×税（费）率</v>
      </c>
      <c r="F48" s="175" t="str">
        <f>IF(H48="情况1","免征",'数据-取费表'!B41)</f>
        <v>免征</v>
      </c>
      <c r="G48" s="2475" t="s">
        <v>2185</v>
      </c>
      <c r="H48" s="2476" t="s">
        <v>2186</v>
      </c>
      <c r="I48" s="2474"/>
      <c r="J48" s="1807">
        <v>3</v>
      </c>
      <c r="K48" s="3105" t="s">
        <v>2187</v>
      </c>
      <c r="L48" s="3105"/>
      <c r="M48" s="3108">
        <f ca="1">H101</f>
        <v>1755</v>
      </c>
      <c r="N48" s="3108"/>
      <c r="O48" s="3108"/>
    </row>
    <row r="49" spans="1:35" ht="25.5" customHeight="1">
      <c r="A49" s="176" t="s">
        <v>2188</v>
      </c>
      <c r="B49" s="3153" t="s">
        <v>2189</v>
      </c>
      <c r="C49" s="3153"/>
      <c r="D49" s="177">
        <v>0</v>
      </c>
      <c r="E49" s="23" t="s">
        <v>2190</v>
      </c>
      <c r="F49" s="28" t="s">
        <v>34</v>
      </c>
      <c r="G49" s="3134"/>
      <c r="H49" s="138"/>
      <c r="I49" s="2477"/>
      <c r="J49" s="1807">
        <v>4</v>
      </c>
      <c r="K49" s="3105" t="str">
        <f>IF(项目基本情况!E8="房地产抵押价值","房地产抵押价值","抵押担保权已注销时的房地产抵押价值")</f>
        <v>房地产抵押价值</v>
      </c>
      <c r="L49" s="3105"/>
      <c r="M49" s="3108">
        <f ca="1">IF(项目基本情况!E8="房地产抵押价值",H107,H109)</f>
        <v>1755</v>
      </c>
      <c r="N49" s="3108"/>
      <c r="O49" s="3108"/>
    </row>
    <row r="50" spans="1:35" ht="25.5" customHeight="1">
      <c r="A50" s="178"/>
      <c r="B50" s="3153" t="s">
        <v>2191</v>
      </c>
      <c r="C50" s="3153"/>
      <c r="D50" s="179"/>
      <c r="E50" s="31"/>
      <c r="F50" s="180"/>
      <c r="G50" s="3135"/>
      <c r="H50" s="138"/>
      <c r="I50" s="2477"/>
      <c r="J50" s="3105" t="s">
        <v>2192</v>
      </c>
      <c r="K50" s="3105"/>
      <c r="L50" s="3105"/>
      <c r="M50" s="3105"/>
      <c r="N50" s="3105"/>
      <c r="O50" s="3105"/>
    </row>
    <row r="51" spans="1:35" ht="12" customHeight="1">
      <c r="A51" s="181"/>
      <c r="B51" s="3153" t="s">
        <v>2193</v>
      </c>
      <c r="C51" s="3153"/>
      <c r="D51" s="182"/>
      <c r="E51" s="30"/>
      <c r="F51" s="180"/>
      <c r="G51" s="3136"/>
      <c r="H51" s="138"/>
      <c r="I51" s="2477"/>
      <c r="J51" s="2478" t="s">
        <v>2194</v>
      </c>
      <c r="K51" s="3105" t="s">
        <v>2195</v>
      </c>
      <c r="L51" s="3105"/>
      <c r="M51" s="2478" t="s">
        <v>2196</v>
      </c>
      <c r="N51" s="2478" t="s">
        <v>2197</v>
      </c>
      <c r="O51" s="2478" t="s">
        <v>2198</v>
      </c>
    </row>
    <row r="52" spans="1:35" ht="24" customHeight="1">
      <c r="A52" s="183" t="s">
        <v>2199</v>
      </c>
      <c r="B52" s="3153" t="s">
        <v>2200</v>
      </c>
      <c r="C52" s="3153"/>
      <c r="D52" s="182">
        <f ca="1">ROUND(D45*'数据-取费表'!B41/(1+'数据-取费表'!C42),0)</f>
        <v>94</v>
      </c>
      <c r="E52" s="11" t="s">
        <v>2201</v>
      </c>
      <c r="F52" s="184">
        <f>'数据-取费表'!B41</f>
        <v>5.6000000000000001E-2</v>
      </c>
      <c r="G52" s="2479"/>
      <c r="H52" s="138"/>
      <c r="I52" s="2477"/>
      <c r="J52" s="1807">
        <v>1</v>
      </c>
      <c r="K52" s="3128" t="s">
        <v>2202</v>
      </c>
      <c r="L52" s="3128"/>
      <c r="M52" s="1749">
        <f>D48</f>
        <v>0</v>
      </c>
      <c r="N52" s="1807" t="str">
        <f>E48</f>
        <v>销售额×税（费）率</v>
      </c>
      <c r="O52" s="1750" t="str">
        <f>F48</f>
        <v>免征</v>
      </c>
    </row>
    <row r="53" spans="1:35" ht="12" customHeight="1">
      <c r="A53" s="183" t="s">
        <v>2203</v>
      </c>
      <c r="B53" s="3154" t="s">
        <v>2204</v>
      </c>
      <c r="C53" s="3155"/>
      <c r="D53" s="182">
        <f ca="1">ROUND(D45*'数据-取费表'!B41/(1+'数据-取费表'!C42),0)</f>
        <v>94</v>
      </c>
      <c r="E53" s="11" t="s">
        <v>2201</v>
      </c>
      <c r="F53" s="184">
        <f>'数据-取费表'!B41</f>
        <v>5.6000000000000001E-2</v>
      </c>
      <c r="G53" s="2479"/>
      <c r="H53" s="138"/>
      <c r="I53" s="2477"/>
      <c r="J53" s="1807">
        <v>2</v>
      </c>
      <c r="K53" s="3128" t="s">
        <v>2205</v>
      </c>
      <c r="L53" s="3128"/>
      <c r="M53" s="1749">
        <f t="shared" ref="M53:O54" ca="1" si="0">D55</f>
        <v>1</v>
      </c>
      <c r="N53" s="1807" t="str">
        <f t="shared" si="0"/>
        <v>销售额×税（费）率</v>
      </c>
      <c r="O53" s="1750">
        <f t="shared" si="0"/>
        <v>5.0000000000000001E-4</v>
      </c>
    </row>
    <row r="54" spans="1:35" ht="12" customHeight="1">
      <c r="A54" s="183" t="s">
        <v>2206</v>
      </c>
      <c r="B54" s="3154" t="s">
        <v>2207</v>
      </c>
      <c r="C54" s="3155"/>
      <c r="D54" s="182">
        <f ca="1">C68</f>
        <v>94</v>
      </c>
      <c r="E54" s="30" t="s">
        <v>2208</v>
      </c>
      <c r="F54" s="184">
        <f>'数据-取费表'!B41</f>
        <v>5.6000000000000001E-2</v>
      </c>
      <c r="G54" s="2479"/>
      <c r="H54" s="2480"/>
      <c r="I54" s="2477"/>
      <c r="J54" s="1807">
        <v>3</v>
      </c>
      <c r="K54" s="3128" t="s">
        <v>2209</v>
      </c>
      <c r="L54" s="3128"/>
      <c r="M54" s="1749">
        <f t="shared" ca="1" si="0"/>
        <v>993</v>
      </c>
      <c r="N54" s="1807" t="str">
        <f t="shared" si="0"/>
        <v>增值额×税（费）率</v>
      </c>
      <c r="O54" s="1751" t="str">
        <f t="shared" si="0"/>
        <v>——</v>
      </c>
    </row>
    <row r="55" spans="1:35" ht="24" customHeight="1">
      <c r="A55" s="3192" t="s">
        <v>2210</v>
      </c>
      <c r="B55" s="3174"/>
      <c r="C55" s="3174"/>
      <c r="D55" s="185">
        <f ca="1">IF(H55="个人住宅",0,ROUND(D45*I55,0))</f>
        <v>1</v>
      </c>
      <c r="E55" s="11" t="s">
        <v>2211</v>
      </c>
      <c r="F55" s="184">
        <f>IF(H55="正常",I55,"免征")</f>
        <v>5.0000000000000001E-4</v>
      </c>
      <c r="G55" s="2479"/>
      <c r="H55" s="2476" t="s">
        <v>2212</v>
      </c>
      <c r="I55" s="186">
        <f>'数据-取费表'!B49</f>
        <v>5.0000000000000001E-4</v>
      </c>
      <c r="J55" s="1807" t="str">
        <f>IF(H59="非个人房产","",4)</f>
        <v/>
      </c>
      <c r="K55" s="3128" t="str">
        <f>IF(H59="非个人房产","——","个人所得税")</f>
        <v>——</v>
      </c>
      <c r="L55" s="3128"/>
      <c r="M55" s="1752" t="str">
        <f>D59</f>
        <v>——</v>
      </c>
      <c r="N55" s="1805" t="str">
        <f>E59</f>
        <v>——</v>
      </c>
      <c r="O55" s="1753" t="str">
        <f>F59</f>
        <v>——</v>
      </c>
    </row>
    <row r="56" spans="1:35" ht="24.75">
      <c r="A56" s="3192" t="s">
        <v>2213</v>
      </c>
      <c r="B56" s="3174"/>
      <c r="C56" s="3174"/>
      <c r="D56" s="185">
        <f ca="1">IF(H56="个人住宅",D57,D58)</f>
        <v>993</v>
      </c>
      <c r="E56" s="11" t="s">
        <v>2214</v>
      </c>
      <c r="F56" s="184" t="str">
        <f>IF(H56="正常",F58,"免征")</f>
        <v>——</v>
      </c>
      <c r="G56" s="2481" t="s">
        <v>2215</v>
      </c>
      <c r="H56" s="2482" t="s">
        <v>2212</v>
      </c>
      <c r="I56" s="2483"/>
      <c r="J56" s="1807" t="str">
        <f>IF(项目基本情况!K6="上海银行",IF(J55="",4,J55+1),"")</f>
        <v/>
      </c>
      <c r="K56" s="3111" t="str">
        <f>IF(项目基本情况!K6="上海银行","其他处置费用","")</f>
        <v/>
      </c>
      <c r="L56" s="3112"/>
      <c r="M56" s="1749" t="str">
        <f>IF(项目基本情况!K6="上海银行",M69,"")</f>
        <v/>
      </c>
      <c r="N56" s="3114" t="str">
        <f>IF(项目基本情况!K6="上海银行","包含处置中涉及的律师、诉讼、拍卖、评估等费用","")</f>
        <v/>
      </c>
      <c r="O56" s="3115"/>
    </row>
    <row r="57" spans="1:35" ht="12.75">
      <c r="A57" s="183" t="s">
        <v>2188</v>
      </c>
      <c r="B57" s="3159" t="s">
        <v>2216</v>
      </c>
      <c r="C57" s="3160"/>
      <c r="D57" s="187">
        <v>0</v>
      </c>
      <c r="E57" s="23" t="s">
        <v>2190</v>
      </c>
      <c r="F57" s="155"/>
      <c r="G57" s="2479"/>
      <c r="H57" s="2483"/>
      <c r="I57" s="2483"/>
      <c r="J57" s="3128">
        <f>IF(AND(J55="",J56=""),4,IF(项目基本情况!K6="上海银行",结果表!J56+1,结果表!J55+1))</f>
        <v>4</v>
      </c>
      <c r="K57" s="3128" t="s">
        <v>2217</v>
      </c>
      <c r="L57" s="2484" t="s">
        <v>2218</v>
      </c>
      <c r="M57" s="1754"/>
      <c r="N57" s="1755">
        <f ca="1">SUMIF(M52:M56,"&lt;9e307")</f>
        <v>994</v>
      </c>
      <c r="O57" s="2485"/>
      <c r="P57" s="1748">
        <f ca="1">N57/M49</f>
        <v>0.5663817663817664</v>
      </c>
    </row>
    <row r="58" spans="1:35" ht="24.75">
      <c r="A58" s="183" t="s">
        <v>2199</v>
      </c>
      <c r="B58" s="3159" t="s">
        <v>2219</v>
      </c>
      <c r="C58" s="3172"/>
      <c r="D58" s="185">
        <f ca="1">IF(H58="转让取得",C81,C97)</f>
        <v>993</v>
      </c>
      <c r="E58" s="11" t="s">
        <v>2214</v>
      </c>
      <c r="F58" s="24" t="s">
        <v>34</v>
      </c>
      <c r="G58" s="2479"/>
      <c r="H58" s="2482" t="s">
        <v>2220</v>
      </c>
      <c r="I58" s="2483"/>
      <c r="J58" s="3128"/>
      <c r="K58" s="3128"/>
      <c r="L58" s="2484" t="s">
        <v>2221</v>
      </c>
      <c r="M58" s="1756"/>
      <c r="N58" s="2486" t="str">
        <f ca="1">NUMBERSTRING(INT(N57*10000),2)&amp;"元整"</f>
        <v>玖佰玖拾肆万元整</v>
      </c>
      <c r="O58" s="2487"/>
    </row>
    <row r="59" spans="1:35" ht="24.75" thickBot="1">
      <c r="A59" s="3132" t="s">
        <v>2222</v>
      </c>
      <c r="B59" s="3133"/>
      <c r="C59" s="3133"/>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30">
        <f>J57+1</f>
        <v>5</v>
      </c>
      <c r="K59" s="3128" t="s">
        <v>2224</v>
      </c>
      <c r="L59" s="1807" t="s">
        <v>2218</v>
      </c>
      <c r="M59" s="1757"/>
      <c r="N59" s="1758">
        <f ca="1">M49-N57</f>
        <v>761</v>
      </c>
      <c r="O59" s="2489"/>
    </row>
    <row r="60" spans="1:35" ht="12" customHeight="1">
      <c r="A60" s="2490"/>
      <c r="B60" s="2412"/>
      <c r="C60" s="2412"/>
      <c r="D60" s="2412"/>
      <c r="E60" s="2160"/>
      <c r="F60" s="2483"/>
      <c r="G60" s="2483"/>
      <c r="H60" s="2491"/>
      <c r="I60" s="138"/>
      <c r="J60" s="3131"/>
      <c r="K60" s="3128"/>
      <c r="L60" s="2484" t="s">
        <v>2221</v>
      </c>
      <c r="M60" s="1756"/>
      <c r="N60" s="2486" t="str">
        <f ca="1">NUMBERSTRING(INT(N59*10000),2)&amp;"元整"</f>
        <v>柒佰陆拾壹万元整</v>
      </c>
      <c r="O60" s="2487"/>
    </row>
    <row r="61" spans="1:35" ht="13.5" thickBot="1">
      <c r="A61" s="3191" t="s">
        <v>2225</v>
      </c>
      <c r="B61" s="3191"/>
      <c r="C61" s="3191"/>
      <c r="D61" s="3191"/>
      <c r="E61" s="3191"/>
      <c r="F61" s="2483"/>
      <c r="G61" s="2483"/>
      <c r="H61" s="2491"/>
      <c r="I61" s="138"/>
      <c r="J61" s="1807">
        <f>J59+1</f>
        <v>6</v>
      </c>
      <c r="K61" s="3128" t="s">
        <v>2226</v>
      </c>
      <c r="L61" s="3128"/>
      <c r="M61" s="1759"/>
      <c r="N61" s="1760">
        <f ca="1">ROUND(N59*10000/'数据-汇总表'!E3,0)</f>
        <v>17485</v>
      </c>
      <c r="O61" s="2492"/>
    </row>
    <row r="62" spans="1:35" ht="12.75">
      <c r="A62" s="3148" t="s">
        <v>2227</v>
      </c>
      <c r="B62" s="3149"/>
      <c r="C62" s="1799"/>
      <c r="D62" s="1799" t="s">
        <v>2228</v>
      </c>
      <c r="E62" s="192" t="s">
        <v>2229</v>
      </c>
      <c r="F62" s="2483"/>
      <c r="G62" s="2483"/>
      <c r="H62" s="2491"/>
      <c r="I62" s="138"/>
    </row>
    <row r="63" spans="1:35" ht="12.75">
      <c r="A63" s="203" t="s">
        <v>775</v>
      </c>
      <c r="B63" s="193" t="s">
        <v>2230</v>
      </c>
      <c r="C63" s="194">
        <f ca="1">ROUND((C64+C65)/(1+'数据-取费表'!C42),0)</f>
        <v>1671</v>
      </c>
      <c r="D63" s="195"/>
      <c r="E63" s="196"/>
      <c r="F63" s="2483"/>
      <c r="G63" s="2483"/>
      <c r="H63" s="2491"/>
      <c r="I63" s="138"/>
      <c r="J63" s="3113" t="s">
        <v>2231</v>
      </c>
      <c r="K63" s="2493" t="s">
        <v>2232</v>
      </c>
      <c r="L63" s="1747">
        <f ca="1">IF(M49&gt;10000,M49*0.5%,IF(AND(M49&gt;1000,M49&lt;=10000),M49*1%,IF(AND(M49&gt;100,M49&lt;=1000),M49*3%,IF(AND(M49&gt;10,M49&lt;=100),M49*5%,M49*8%))))</f>
        <v>17.55</v>
      </c>
      <c r="M63" s="24">
        <f ca="1">ROUND(L63,1)</f>
        <v>17.600000000000001</v>
      </c>
      <c r="Z63" s="2417"/>
      <c r="AI63" s="2418"/>
    </row>
    <row r="64" spans="1:35" ht="14.25" customHeight="1">
      <c r="A64" s="197" t="s">
        <v>770</v>
      </c>
      <c r="B64" s="198" t="s">
        <v>2233</v>
      </c>
      <c r="C64" s="199">
        <f ca="1">D45</f>
        <v>1755</v>
      </c>
      <c r="D64" s="200" t="s">
        <v>32</v>
      </c>
      <c r="E64" s="201"/>
      <c r="F64" s="2483"/>
      <c r="G64" s="2483"/>
      <c r="H64" s="2491"/>
      <c r="I64" s="138"/>
      <c r="J64" s="3113"/>
      <c r="K64" s="2493" t="s">
        <v>2234</v>
      </c>
      <c r="L64" s="1747">
        <f ca="1">IF(M49&gt;2000,M49*0.5%,IF(AND(M49&gt;1000,M49&lt;=2000),M49*0.6%,IF(AND(M49&gt;500,M49&lt;=1000),M49*0.7%,IF(AND(M49&gt;200,M49&lt;=500),M49*0.8%,IF(AND(M49&gt;100,M49&lt;=200),M49*0.9%,IF(AND(M49&gt;50,M49&lt;=100),M49*1%,IF(AND(M49&gt;20,M49&lt;=50),M49*1.5%,IF(AND(M49&gt;10,M49&lt;=20),M49*2%,IF(AND(M49&gt;1,M49&lt;=10),M49*2.5%)))))))))</f>
        <v>10.53</v>
      </c>
      <c r="M64" s="24">
        <f t="shared" ref="M64:M65" ca="1" si="1">ROUND(L64,1)</f>
        <v>10.5</v>
      </c>
      <c r="N64" s="138" t="s">
        <v>2235</v>
      </c>
      <c r="Z64" s="2417"/>
      <c r="AI64" s="2418"/>
    </row>
    <row r="65" spans="1:35" ht="14.25" customHeight="1">
      <c r="A65" s="197" t="s">
        <v>771</v>
      </c>
      <c r="B65" s="198" t="s">
        <v>2236</v>
      </c>
      <c r="C65" s="202"/>
      <c r="D65" s="200"/>
      <c r="E65" s="201"/>
      <c r="F65" s="2483"/>
      <c r="G65" s="2483"/>
      <c r="H65" s="2491"/>
      <c r="I65" s="138"/>
      <c r="J65" s="3113"/>
      <c r="K65" s="2493" t="s">
        <v>2237</v>
      </c>
      <c r="L65" s="1747">
        <f ca="1">IF(M49&gt;1000,M49*0.1%,IF(AND(M49&gt;500,M49&lt;=1000),M49*0.5%,IF(AND(M49&gt;50,M49&lt;=500),M49*1%,IF(AND(M49&gt;1,M49&lt;=50),M49*1.5%))))</f>
        <v>1.7550000000000001</v>
      </c>
      <c r="M65" s="24">
        <f t="shared" ca="1" si="1"/>
        <v>1.8</v>
      </c>
      <c r="N65" s="138" t="s">
        <v>2235</v>
      </c>
      <c r="Z65" s="2417"/>
      <c r="AI65" s="2418"/>
    </row>
    <row r="66" spans="1:35" ht="14.25" customHeight="1">
      <c r="A66" s="203" t="s">
        <v>772</v>
      </c>
      <c r="B66" s="204" t="s">
        <v>2238</v>
      </c>
      <c r="C66" s="205"/>
      <c r="D66" s="206" t="s">
        <v>32</v>
      </c>
      <c r="E66" s="1771" t="s">
        <v>1367</v>
      </c>
      <c r="F66" s="2483"/>
      <c r="G66" s="2483"/>
      <c r="H66" s="2491"/>
      <c r="I66" s="138"/>
      <c r="J66" s="3113"/>
      <c r="K66" s="2493" t="s">
        <v>2239</v>
      </c>
      <c r="L66" s="1747">
        <f ca="1">M49*0.5%</f>
        <v>8.7750000000000004</v>
      </c>
      <c r="M66" s="24">
        <f ca="1">IF(L66&gt;0.5,0.5,ROUND(L66,0))</f>
        <v>0.5</v>
      </c>
      <c r="N66" s="138" t="s">
        <v>2240</v>
      </c>
      <c r="Z66" s="2417"/>
      <c r="AI66" s="2418"/>
    </row>
    <row r="67" spans="1:35" ht="14.25" customHeight="1">
      <c r="A67" s="203" t="s">
        <v>773</v>
      </c>
      <c r="B67" s="204" t="s">
        <v>2241</v>
      </c>
      <c r="C67" s="207">
        <f ca="1">C63-C66</f>
        <v>1671</v>
      </c>
      <c r="D67" s="200" t="s">
        <v>32</v>
      </c>
      <c r="E67" s="201"/>
      <c r="F67" s="2483"/>
      <c r="G67" s="2483"/>
      <c r="H67" s="2491"/>
      <c r="I67" s="138"/>
      <c r="J67" s="3113"/>
      <c r="K67" s="2493" t="s">
        <v>2242</v>
      </c>
      <c r="L67" s="1747">
        <f ca="1">IF(M49&gt;=10000,(8.25+(M49-10000)*0.01%),IF(AND(M49&gt;=8000,M49&lt;10000),(7.85+(M49-8000)*0.02%),IF(AND(M49&gt;=5000,M49&lt;8000),(6.65+(M49-5000)*0.04%),IF(AND(M49&gt;=2000,M49&lt;5000),(4.25+(PM49-2000)*0.08%),IF(AND(M49&gt;=1000,M49&lt;2000),(2.75+(M49-1000)*0.15%),IF(AND(M49&gt;=100,M49&lt;1000),(0.5+(M49-100)*0.25%),IF(AND(M49&gt;0,M49&lt;100),M49*0.5%)))))))</f>
        <v>3.8825000000000003</v>
      </c>
      <c r="M67" s="24">
        <f ca="1">ROUND(L67*0.9,1)</f>
        <v>3.5</v>
      </c>
      <c r="Z67" s="2417"/>
      <c r="AI67" s="2418"/>
    </row>
    <row r="68" spans="1:35" ht="14.25" customHeight="1" thickBot="1">
      <c r="A68" s="208" t="s">
        <v>774</v>
      </c>
      <c r="B68" s="209" t="s">
        <v>2243</v>
      </c>
      <c r="C68" s="210">
        <f ca="1">IF(C67&lt;=0,0,ROUND(C67*D68,0))</f>
        <v>94</v>
      </c>
      <c r="D68" s="211">
        <f>'数据-取费表'!B41</f>
        <v>5.6000000000000001E-2</v>
      </c>
      <c r="E68" s="212"/>
      <c r="F68" s="2483"/>
      <c r="G68" s="2483"/>
      <c r="H68" s="2491"/>
      <c r="I68" s="138"/>
      <c r="J68" s="3113"/>
      <c r="K68" s="2493" t="s">
        <v>2244</v>
      </c>
      <c r="L68" s="1747">
        <f ca="1">IF(M49&gt;10000,M49*0.5%,IF(AND(M49&gt;5000,M49&lt;=10000),M49*1%,IF(AND(M49&gt;1000,M49&lt;=5000),M49*2%,IF(AND(M49&gt;200,M49&lt;=1000),M49*3%,M49*5%))))</f>
        <v>35.1</v>
      </c>
      <c r="M68" s="24">
        <f ca="1">ROUND(L68,1)</f>
        <v>35.1</v>
      </c>
      <c r="Z68" s="2417"/>
      <c r="AI68" s="2418"/>
    </row>
    <row r="69" spans="1:35" s="2440" customFormat="1" ht="16.5" customHeight="1">
      <c r="A69" s="2494"/>
      <c r="B69" s="2495"/>
      <c r="C69" s="2496"/>
      <c r="D69" s="2497"/>
      <c r="E69" s="2498"/>
      <c r="F69" s="2160"/>
      <c r="G69" s="2160"/>
      <c r="H69" s="2159"/>
      <c r="I69" s="2412"/>
      <c r="J69" s="3113"/>
      <c r="K69" s="2493" t="s">
        <v>2245</v>
      </c>
      <c r="L69" s="2499"/>
      <c r="M69" s="24">
        <f ca="1">ROUND(SUM(M63:M68),0)</f>
        <v>69</v>
      </c>
      <c r="N69" s="1748">
        <f ca="1">M69/M49</f>
        <v>3.9316239316239315E-2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7" t="s">
        <v>2246</v>
      </c>
      <c r="B70" s="3158"/>
      <c r="C70" s="3158"/>
      <c r="D70" s="3158"/>
      <c r="E70" s="3158"/>
      <c r="F70" s="3158"/>
      <c r="G70" s="3158"/>
      <c r="H70" s="315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2227</v>
      </c>
      <c r="B71" s="3149"/>
      <c r="C71" s="1799"/>
      <c r="D71" s="179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1671</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10</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4" t="s">
        <v>2255</v>
      </c>
      <c r="F76" s="3153"/>
      <c r="G76" s="3153"/>
      <c r="H76" s="315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10</v>
      </c>
      <c r="D78" s="226">
        <f>'数据-取费表'!B43</f>
        <v>6.000000000000001E-3</v>
      </c>
      <c r="E78" s="3145" t="s">
        <v>2260</v>
      </c>
      <c r="F78" s="3146"/>
      <c r="G78" s="3146"/>
      <c r="H78" s="314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1661</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993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7" t="s">
        <v>2264</v>
      </c>
      <c r="B83" s="3158"/>
      <c r="C83" s="3158"/>
      <c r="D83" s="3158"/>
      <c r="E83" s="3158"/>
      <c r="F83" s="3158"/>
      <c r="G83" s="3158"/>
      <c r="H83" s="315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2227</v>
      </c>
      <c r="B84" s="3149"/>
      <c r="C84" s="1799"/>
      <c r="D84" s="179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1671</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10</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1795"/>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5" t="s">
        <v>2273</v>
      </c>
      <c r="F91" s="3146"/>
      <c r="G91" s="3146"/>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5" t="s">
        <v>2277</v>
      </c>
      <c r="F92" s="3146"/>
      <c r="G92" s="3146"/>
      <c r="H92" s="314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10</v>
      </c>
      <c r="D93" s="226">
        <f>'数据-取费表'!B43</f>
        <v>6.000000000000001E-3</v>
      </c>
      <c r="E93" s="3145" t="s">
        <v>2260</v>
      </c>
      <c r="F93" s="3146"/>
      <c r="G93" s="3146"/>
      <c r="H93" s="314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93" t="s">
        <v>2281</v>
      </c>
      <c r="F94" s="3194"/>
      <c r="G94" s="3194"/>
      <c r="H94" s="319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1661</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993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7" t="s">
        <v>2283</v>
      </c>
      <c r="B100" s="3098"/>
      <c r="C100" s="3098"/>
      <c r="D100" s="3129"/>
      <c r="E100" s="3098" t="s">
        <v>2284</v>
      </c>
      <c r="F100" s="3098"/>
      <c r="G100" s="3098"/>
      <c r="H100" s="3129"/>
      <c r="I100" s="138"/>
    </row>
    <row r="101" spans="1:35" ht="18.75" customHeight="1">
      <c r="A101" s="3137" t="s">
        <v>2285</v>
      </c>
      <c r="B101" s="3138"/>
      <c r="C101" s="735" t="str">
        <f>C4</f>
        <v>典型户型修正</v>
      </c>
      <c r="D101" s="736" t="str">
        <f>D4</f>
        <v>典型户型修正</v>
      </c>
      <c r="E101" s="3109" t="s">
        <v>2286</v>
      </c>
      <c r="F101" s="3110"/>
      <c r="G101" s="2514" t="s">
        <v>2287</v>
      </c>
      <c r="H101" s="1044">
        <f ca="1">H118</f>
        <v>1755</v>
      </c>
      <c r="I101" s="138"/>
    </row>
    <row r="102" spans="1:35" ht="18.75" customHeight="1">
      <c r="A102" s="3139" t="s">
        <v>2288</v>
      </c>
      <c r="B102" s="2514" t="s">
        <v>2287</v>
      </c>
      <c r="C102" s="735">
        <f ca="1">C19</f>
        <v>1755</v>
      </c>
      <c r="D102" s="736">
        <f ca="1">D19</f>
        <v>1755</v>
      </c>
      <c r="E102" s="3109"/>
      <c r="F102" s="3110"/>
      <c r="G102" s="2514" t="s">
        <v>2289</v>
      </c>
      <c r="H102" s="371">
        <f ca="1">I118</f>
        <v>40324</v>
      </c>
      <c r="I102" s="138"/>
    </row>
    <row r="103" spans="1:35" ht="42.75" customHeight="1">
      <c r="A103" s="3139"/>
      <c r="B103" s="2514" t="s">
        <v>2289</v>
      </c>
      <c r="C103" s="737">
        <f ca="1">C20</f>
        <v>40324</v>
      </c>
      <c r="D103" s="738">
        <f ca="1">D20</f>
        <v>40324</v>
      </c>
      <c r="E103" s="3103" t="s">
        <v>2290</v>
      </c>
      <c r="F103" s="3104"/>
      <c r="G103" s="2515" t="s">
        <v>2291</v>
      </c>
      <c r="H103" s="1044">
        <f>IF(D36="正常操作",H104+H105+H106,H105+H106)</f>
        <v>0</v>
      </c>
      <c r="I103" s="138"/>
    </row>
    <row r="104" spans="1:35" ht="18.75" customHeight="1">
      <c r="A104" s="3139" t="s">
        <v>2292</v>
      </c>
      <c r="B104" s="2516" t="s">
        <v>2287</v>
      </c>
      <c r="C104" s="739">
        <f ca="1">H118</f>
        <v>1755</v>
      </c>
      <c r="D104" s="740"/>
      <c r="E104" s="2261" t="s">
        <v>2293</v>
      </c>
      <c r="F104" s="2252"/>
      <c r="G104" s="2515" t="s">
        <v>2291</v>
      </c>
      <c r="H104" s="1045">
        <f>IF(D36="同一抵押权人同一抵押物续贷",C36&amp;"（未扣减，详见特别提示）",C36)</f>
        <v>0</v>
      </c>
      <c r="I104" s="138"/>
    </row>
    <row r="105" spans="1:35" ht="18.75" customHeight="1" thickBot="1">
      <c r="A105" s="3151"/>
      <c r="B105" s="2517" t="s">
        <v>2289</v>
      </c>
      <c r="C105" s="741">
        <f ca="1">I118</f>
        <v>40324</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40" t="str">
        <f>IF(项目基本情况!E8="已注销","——","3.房地产抵押价值")</f>
        <v>3.房地产抵押价值</v>
      </c>
      <c r="F107" s="3110"/>
      <c r="G107" s="2514" t="s">
        <v>2287</v>
      </c>
      <c r="H107" s="1044">
        <f ca="1">IF(E107="——","——",H101-H103)</f>
        <v>1755</v>
      </c>
      <c r="I107" s="138"/>
    </row>
    <row r="108" spans="1:35" ht="18.75" customHeight="1">
      <c r="A108" s="138"/>
      <c r="B108" s="138"/>
      <c r="C108" s="138"/>
      <c r="D108" s="138"/>
      <c r="E108" s="3140"/>
      <c r="F108" s="3110"/>
      <c r="G108" s="2514" t="s">
        <v>2289</v>
      </c>
      <c r="H108" s="371">
        <f ca="1">ROUND(H107*10000/'数据-汇总表'!E3,0)</f>
        <v>40324</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4" t="s">
        <v>2287</v>
      </c>
      <c r="H109" s="348" t="str">
        <f>IF(E109="——","——",H101-H105-H106)</f>
        <v>——</v>
      </c>
      <c r="I109" s="138"/>
    </row>
    <row r="110" spans="1:35" ht="18.75" customHeight="1">
      <c r="A110" s="138"/>
      <c r="B110" s="138"/>
      <c r="C110" s="138"/>
      <c r="D110" s="138"/>
      <c r="E110" s="3140"/>
      <c r="F110" s="3110"/>
      <c r="G110" s="2514" t="s">
        <v>2289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2287</v>
      </c>
      <c r="H111" s="1044" t="str">
        <f>IF(E111="——","——",N59)</f>
        <v>——</v>
      </c>
      <c r="I111" s="138"/>
    </row>
    <row r="112" spans="1:35" ht="18.75" customHeight="1" thickBot="1">
      <c r="A112" s="138"/>
      <c r="B112" s="138"/>
      <c r="C112" s="138"/>
      <c r="D112" s="138"/>
      <c r="E112" s="3143"/>
      <c r="F112" s="3144"/>
      <c r="G112" s="2519" t="s">
        <v>2289</v>
      </c>
      <c r="H112" s="789" t="str">
        <f>IF(E111="——","——",N61)</f>
        <v>——</v>
      </c>
      <c r="I112" s="138"/>
    </row>
    <row r="113" spans="1:11" ht="18.75" customHeight="1">
      <c r="A113" s="138"/>
      <c r="B113" s="138"/>
      <c r="C113" s="138"/>
      <c r="D113" s="138"/>
      <c r="E113" s="3152" t="s">
        <v>2295</v>
      </c>
      <c r="F113" s="3152"/>
      <c r="G113" s="3152"/>
      <c r="H113" s="3152"/>
      <c r="I113" s="138"/>
    </row>
    <row r="114" spans="1:11" ht="3.75" customHeight="1">
      <c r="A114" s="2412"/>
      <c r="B114" s="2412"/>
      <c r="C114" s="2412"/>
      <c r="D114" s="2412"/>
      <c r="E114" s="2490"/>
      <c r="F114" s="2490"/>
      <c r="G114" s="2490"/>
      <c r="H114" s="2490"/>
      <c r="I114" s="2412"/>
    </row>
    <row r="115" spans="1:11" ht="18.75" customHeight="1">
      <c r="A115" s="3165" t="s">
        <v>2297</v>
      </c>
      <c r="B115" s="3166"/>
      <c r="C115" s="3166"/>
      <c r="D115" s="3166"/>
      <c r="E115" s="3166"/>
      <c r="F115" s="3166"/>
      <c r="G115" s="3166"/>
      <c r="H115" s="3166"/>
      <c r="I115" s="3167"/>
    </row>
    <row r="116" spans="1:11" ht="27" customHeight="1">
      <c r="A116" s="3076" t="s">
        <v>2298</v>
      </c>
      <c r="B116" s="3119" t="s">
        <v>2299</v>
      </c>
      <c r="C116" s="3119" t="s">
        <v>2300</v>
      </c>
      <c r="D116" s="3125" t="s">
        <v>2301</v>
      </c>
      <c r="E116" s="3126"/>
      <c r="F116" s="3161" t="s">
        <v>2302</v>
      </c>
      <c r="G116" s="3161"/>
      <c r="H116" s="3076" t="s">
        <v>2303</v>
      </c>
      <c r="I116" s="3076"/>
    </row>
    <row r="117" spans="1:11" ht="18.75" customHeight="1">
      <c r="A117" s="3076"/>
      <c r="B117" s="3120"/>
      <c r="C117" s="3120"/>
      <c r="D117" s="1793" t="s">
        <v>2304</v>
      </c>
      <c r="E117" s="1793" t="s">
        <v>2305</v>
      </c>
      <c r="F117" s="1793" t="s">
        <v>2304</v>
      </c>
      <c r="G117" s="1793" t="s">
        <v>2306</v>
      </c>
      <c r="H117" s="1793" t="s">
        <v>2304</v>
      </c>
      <c r="I117" s="1793" t="s">
        <v>2306</v>
      </c>
    </row>
    <row r="118" spans="1:11" ht="24.75" customHeight="1">
      <c r="A118" s="2520" t="str">
        <f>项目基本情况!S2</f>
        <v>北京市丰台区南四环西路128号院2号楼5层610等4套办公用房房地产</v>
      </c>
      <c r="B118" s="1793">
        <f>M18</f>
        <v>435.22</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1755</v>
      </c>
      <c r="I118" s="1793">
        <f ca="1">ROUND(IF(D32="楼面单价",C32,H118*10000/B118),0)</f>
        <v>40324</v>
      </c>
    </row>
    <row r="119" spans="1:11" ht="18.75" customHeight="1">
      <c r="A119" s="3076" t="s">
        <v>2307</v>
      </c>
      <c r="B119" s="3076"/>
      <c r="C119" s="3076"/>
      <c r="D119" s="3121" t="e">
        <f ca="1">NUMBERSTRING(INT(D118*10000),2)&amp;"元整"</f>
        <v>#REF!</v>
      </c>
      <c r="E119" s="3122"/>
      <c r="F119" s="3121" t="e">
        <f ca="1">NUMBERSTRING(INT(F118*10000),2)&amp;"元整"</f>
        <v>#REF!</v>
      </c>
      <c r="G119" s="3122"/>
      <c r="H119" s="3121" t="str">
        <f ca="1">NUMBERSTRING(INT(H118*10000),2)&amp;"元整"</f>
        <v>壹仟柒佰伍拾伍万元整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7" t="str">
        <f>IF(D120=0,"故，本次评估不存在"&amp;A120,"故，本次评估"&amp;A120&amp;"为人民币"&amp;D120&amp;"万元整。")</f>
        <v>故，本次评估不存在估价师知悉的法定优先受偿款</v>
      </c>
    </row>
    <row r="121" spans="1:11" ht="18.75" customHeight="1">
      <c r="A121" s="3162" t="s">
        <v>2307</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1755</v>
      </c>
      <c r="E122" s="3117"/>
      <c r="F122" s="3117"/>
      <c r="G122" s="3117"/>
      <c r="H122" s="3117"/>
      <c r="I122" s="3118"/>
    </row>
    <row r="123" spans="1:11" ht="18.75" customHeight="1">
      <c r="A123" s="3076" t="s">
        <v>2307</v>
      </c>
      <c r="B123" s="3076"/>
      <c r="C123" s="3076"/>
      <c r="D123" s="3121" t="str">
        <f ca="1">NUMBERSTRING(INT(D122*10000),2)&amp;"元整"</f>
        <v>壹仟柒佰伍拾伍万元整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6" t="s">
        <v>2307</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6" t="s">
        <v>2307</v>
      </c>
      <c r="B127" s="3076"/>
      <c r="C127" s="3076"/>
      <c r="D127" s="3121" t="e">
        <f>NUMBERSTRING(INT(D126*10000),2)&amp;"元整"</f>
        <v>#VALUE!</v>
      </c>
      <c r="E127" s="3123"/>
      <c r="F127" s="3123"/>
      <c r="G127" s="3123"/>
      <c r="H127" s="3123"/>
      <c r="I127" s="3122"/>
    </row>
    <row r="128" spans="1:11" ht="21.75" customHeight="1">
      <c r="A128" s="3124" t="s">
        <v>2308</v>
      </c>
      <c r="B128" s="3124"/>
      <c r="C128" s="3124"/>
      <c r="D128" s="3124"/>
      <c r="E128" s="3124"/>
      <c r="F128" s="3124"/>
      <c r="G128" s="3124"/>
      <c r="H128" s="3124"/>
      <c r="I128" s="3124"/>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4" t="s">
        <v>27</v>
      </c>
      <c r="C1" s="242"/>
      <c r="D1" s="242"/>
      <c r="E1" s="242"/>
      <c r="F1" s="242"/>
      <c r="G1" s="1377">
        <f>MATCH(B1,'数据-取费表'!A6:A16,0)+5</f>
        <v>6</v>
      </c>
    </row>
    <row r="2" spans="1:9" s="244" customFormat="1" ht="18" customHeight="1">
      <c r="A2" s="245" t="s">
        <v>2317</v>
      </c>
      <c r="B2" s="246">
        <f ca="1">IF(D2="——",C52,C52-E2)</f>
        <v>185</v>
      </c>
      <c r="C2" s="243" t="s">
        <v>2318</v>
      </c>
      <c r="D2" s="2543" t="s">
        <v>70</v>
      </c>
      <c r="E2" s="1438"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23558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100</v>
      </c>
      <c r="D5" s="255" t="s">
        <v>2324</v>
      </c>
      <c r="E5" s="256" t="s">
        <v>2325</v>
      </c>
      <c r="F5" s="256" t="s">
        <v>2326</v>
      </c>
      <c r="G5" s="257"/>
    </row>
    <row r="6" spans="1:9" s="258" customFormat="1" ht="13.5" customHeight="1">
      <c r="A6" s="948" t="s">
        <v>2327</v>
      </c>
      <c r="B6" s="259" t="s">
        <v>2328</v>
      </c>
      <c r="C6" s="260">
        <f ca="1">基准地价修正!B2</f>
        <v>97</v>
      </c>
      <c r="D6" s="261"/>
      <c r="E6" s="262"/>
      <c r="F6" s="262"/>
      <c r="G6" s="263"/>
    </row>
    <row r="7" spans="1:9" s="258" customFormat="1" ht="13.5" customHeight="1">
      <c r="A7" s="948" t="s">
        <v>2329</v>
      </c>
      <c r="B7" s="259" t="s">
        <v>2330</v>
      </c>
      <c r="C7" s="264">
        <f ca="1">ROUND(C6*F7,0)</f>
        <v>3</v>
      </c>
      <c r="D7" s="264"/>
      <c r="E7" s="262"/>
      <c r="F7" s="265">
        <f>IF(项目基本情况!B8="出让",0,'数据-取费表'!B48+'数据-取费表'!B49)</f>
        <v>3.0499999999999999E-2</v>
      </c>
      <c r="G7" s="263"/>
    </row>
    <row r="8" spans="1:9" s="267" customFormat="1">
      <c r="A8" s="948" t="s">
        <v>2331</v>
      </c>
      <c r="B8" s="259" t="s">
        <v>2332</v>
      </c>
      <c r="C8" s="264">
        <f>IF(G8="已包含在土地购买价格中","0",IF(B1="",'数据-取费表'!B29,IF(G9="全部缴纳",C9+C10,H9)))</f>
        <v>0</v>
      </c>
      <c r="D8" s="266"/>
      <c r="E8" s="264"/>
      <c r="F8" s="265"/>
      <c r="G8" s="2546" t="s">
        <v>3099</v>
      </c>
    </row>
    <row r="9" spans="1:9" s="258" customFormat="1" ht="13.5" customHeight="1">
      <c r="A9" s="949" t="s">
        <v>800</v>
      </c>
      <c r="B9" s="268" t="s">
        <v>2333</v>
      </c>
      <c r="C9" s="269">
        <f ca="1">ROUND(D9*E9/10000,0)</f>
        <v>0</v>
      </c>
      <c r="D9" s="1031">
        <f ca="1">IF(B1="",'数据-汇总表'!E5,IF(INDIRECT("'数据-取费表'!c"&amp;$G$1)="住宅",INDIRECT("'数据-取费表'!k"&amp;$G$1),0))</f>
        <v>0</v>
      </c>
      <c r="E9" s="269">
        <f>'数据-取费表'!B27</f>
        <v>160</v>
      </c>
      <c r="F9" s="265"/>
      <c r="G9" s="2547"/>
      <c r="H9" s="1388"/>
      <c r="I9" s="2548" t="s">
        <v>2334</v>
      </c>
    </row>
    <row r="10" spans="1:9" s="258" customFormat="1" ht="13.5" customHeight="1">
      <c r="A10" s="949" t="s">
        <v>801</v>
      </c>
      <c r="B10" s="268" t="s">
        <v>2335</v>
      </c>
      <c r="C10" s="269">
        <f ca="1">ROUND(D10*E10/10000,0)</f>
        <v>2</v>
      </c>
      <c r="D10" s="1031">
        <f ca="1">IF(B1="",'数据-汇总表'!E6,IF(INDIRECT("'数据-取费表'!c"&amp;$G$1)="住宅",INDIRECT("'数据-取费表'!s"&amp;$G$1),INDIRECT("'数据-取费表'!k"&amp;$G$1)+INDIRECT("'数据-取费表'!s"&amp;$G$1)))</f>
        <v>78.53</v>
      </c>
      <c r="E10" s="269">
        <f>'数据-取费表'!B28</f>
        <v>200</v>
      </c>
      <c r="F10" s="265"/>
      <c r="G10" s="270"/>
    </row>
    <row r="11" spans="1:9" s="258" customFormat="1" ht="13.5" hidden="1" customHeight="1">
      <c r="A11" s="271" t="s">
        <v>7</v>
      </c>
      <c r="B11" s="259" t="s">
        <v>2336</v>
      </c>
      <c r="C11" s="255"/>
      <c r="D11" s="1033"/>
      <c r="E11" s="262"/>
      <c r="F11" s="262"/>
      <c r="G11" s="263"/>
    </row>
    <row r="12" spans="1:9" s="258" customFormat="1" ht="13.5" hidden="1" customHeight="1">
      <c r="A12" s="271" t="s">
        <v>8</v>
      </c>
      <c r="B12" s="259" t="s">
        <v>2337</v>
      </c>
      <c r="C12" s="255">
        <v>0</v>
      </c>
      <c r="D12" s="1033"/>
      <c r="E12" s="272"/>
      <c r="F12" s="265">
        <v>3.0499999999999999E-2</v>
      </c>
      <c r="G12" s="263"/>
    </row>
    <row r="13" spans="1:9" s="258" customFormat="1" ht="13.5" hidden="1" customHeight="1">
      <c r="A13" s="271" t="s">
        <v>9</v>
      </c>
      <c r="B13" s="259" t="s">
        <v>2338</v>
      </c>
      <c r="C13" s="255"/>
      <c r="D13" s="1033"/>
      <c r="E13" s="262"/>
      <c r="F13" s="262"/>
      <c r="G13" s="263"/>
    </row>
    <row r="14" spans="1:9" s="258" customFormat="1" ht="13.5" hidden="1" customHeight="1">
      <c r="A14" s="271" t="s">
        <v>10</v>
      </c>
      <c r="B14" s="259" t="s">
        <v>2339</v>
      </c>
      <c r="C14" s="255"/>
      <c r="D14" s="1033"/>
      <c r="E14" s="262"/>
      <c r="F14" s="262"/>
      <c r="G14" s="263" t="s">
        <v>2340</v>
      </c>
    </row>
    <row r="15" spans="1:9" s="258" customFormat="1" ht="13.5" hidden="1" customHeight="1">
      <c r="A15" s="271" t="s">
        <v>11</v>
      </c>
      <c r="B15" s="259" t="s">
        <v>2341</v>
      </c>
      <c r="C15" s="264"/>
      <c r="D15" s="1033"/>
      <c r="E15" s="262"/>
      <c r="F15" s="262"/>
      <c r="G15" s="263" t="s">
        <v>2342</v>
      </c>
    </row>
    <row r="16" spans="1:9" s="258" customFormat="1" ht="13.5" hidden="1" customHeight="1">
      <c r="A16" s="271" t="s">
        <v>12</v>
      </c>
      <c r="B16" s="259" t="s">
        <v>2339</v>
      </c>
      <c r="C16" s="264"/>
      <c r="D16" s="1033"/>
      <c r="E16" s="262"/>
      <c r="F16" s="262"/>
      <c r="G16" s="263"/>
    </row>
    <row r="17" spans="1:7" s="258" customFormat="1" ht="13.5" hidden="1" customHeight="1">
      <c r="A17" s="271" t="s">
        <v>13</v>
      </c>
      <c r="B17" s="259" t="s">
        <v>2343</v>
      </c>
      <c r="C17" s="273"/>
      <c r="D17" s="1034"/>
      <c r="E17" s="273"/>
      <c r="F17" s="273"/>
      <c r="G17" s="263" t="s">
        <v>2342</v>
      </c>
    </row>
    <row r="18" spans="1:7" s="258" customFormat="1" ht="13.5" hidden="1" customHeight="1">
      <c r="A18" s="271" t="s">
        <v>14</v>
      </c>
      <c r="B18" s="259" t="s">
        <v>2344</v>
      </c>
      <c r="C18" s="264">
        <v>0</v>
      </c>
      <c r="D18" s="1033"/>
      <c r="E18" s="262"/>
      <c r="F18" s="265">
        <v>3.0499999999999999E-2</v>
      </c>
      <c r="G18" s="263" t="s">
        <v>2345</v>
      </c>
    </row>
    <row r="19" spans="1:7" s="267" customFormat="1" ht="13.5" customHeight="1">
      <c r="A19" s="299" t="s">
        <v>2346</v>
      </c>
      <c r="B19" s="254" t="s">
        <v>2347</v>
      </c>
      <c r="C19" s="255" t="str">
        <f>IF(G19="已包含在土地取得成本中","0",ROUND(D19*E19/10000,0))</f>
        <v>0</v>
      </c>
      <c r="D19" s="1035">
        <f ca="1">D9+D10</f>
        <v>78.53</v>
      </c>
      <c r="E19" s="255">
        <f>'数据-取费表'!B31</f>
        <v>200</v>
      </c>
      <c r="F19" s="275"/>
      <c r="G19" s="2546" t="s">
        <v>3100</v>
      </c>
    </row>
    <row r="20" spans="1:7" s="258" customFormat="1" ht="13.5" customHeight="1">
      <c r="A20" s="299" t="s">
        <v>2348</v>
      </c>
      <c r="B20" s="254" t="s">
        <v>2349</v>
      </c>
      <c r="C20" s="276">
        <f ca="1">ROUND((C5+C19)*F20,0)</f>
        <v>2</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2">
        <f ca="1">ROUND(SUM(C23:C25),0)</f>
        <v>10</v>
      </c>
      <c r="D22" s="279">
        <f ca="1">C26</f>
        <v>1E-3</v>
      </c>
      <c r="E22" s="280" t="s">
        <v>2353</v>
      </c>
      <c r="F22" s="281">
        <f ca="1">'数据-取费表'!B40</f>
        <v>4.7500000000000001E-2</v>
      </c>
      <c r="G22" s="278" t="str">
        <f>IF('数据-取费表'!B22&lt;=1,"单利计息","复利计息")</f>
        <v>复利计息</v>
      </c>
    </row>
    <row r="23" spans="1:7" s="258" customFormat="1" ht="13.5" customHeight="1">
      <c r="A23" s="950" t="s">
        <v>2357</v>
      </c>
      <c r="B23" s="259" t="s">
        <v>2358</v>
      </c>
      <c r="C23" s="1353">
        <f ca="1">ROUND(IF('数据-取费表'!B22&lt;=1,C5*F22*'数据-取费表'!B23,C5*(POWER((1+F22),'数据-取费表'!B23)-1)),0)</f>
        <v>10</v>
      </c>
      <c r="D23" s="282"/>
      <c r="E23" s="282"/>
      <c r="F23" s="283"/>
      <c r="G23" s="284" t="s">
        <v>2359</v>
      </c>
    </row>
    <row r="24" spans="1:7" s="258" customFormat="1" ht="13.5" customHeight="1">
      <c r="A24" s="950" t="s">
        <v>2360</v>
      </c>
      <c r="B24" s="259" t="s">
        <v>2361</v>
      </c>
      <c r="C24" s="1353">
        <f ca="1">ROUND(IF('数据-取费表'!B22&lt;=1,C19*F22*('数据-取费表'!B19/2+'数据-取费表'!B21),C19*(POWER((1+F22),('数据-取费表'!B19/2+'数据-取费表'!B21))-1)),0)</f>
        <v>0</v>
      </c>
      <c r="D24" s="282"/>
      <c r="E24" s="282"/>
      <c r="F24" s="283"/>
      <c r="G24" s="284" t="s">
        <v>2362</v>
      </c>
    </row>
    <row r="25" spans="1:7" s="258" customFormat="1" ht="24">
      <c r="A25" s="950" t="s">
        <v>2363</v>
      </c>
      <c r="B25" s="259" t="s">
        <v>2364</v>
      </c>
      <c r="C25" s="1353">
        <f ca="1">ROUND(IF('数据-取费表'!B22&lt;=1,C20*F22*'数据-取费表'!B23/2,C20*(POWER((1+F22),'数据-取费表'!B23/2)-1)),0)</f>
        <v>0</v>
      </c>
      <c r="D25" s="282"/>
      <c r="E25" s="285"/>
      <c r="F25" s="283"/>
      <c r="G25" s="286" t="s">
        <v>2365</v>
      </c>
    </row>
    <row r="26" spans="1:7" s="258" customFormat="1">
      <c r="A26" s="950"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20</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ROUND((C5+C19+C20)*F27*'数据-取费表'!B21/'数据-取费表'!B20,0)</f>
        <v>20</v>
      </c>
      <c r="D28" s="279"/>
      <c r="E28" s="280"/>
      <c r="F28" s="290"/>
      <c r="G28" s="291"/>
    </row>
    <row r="29" spans="1:7" s="258" customFormat="1" ht="13.5" customHeight="1">
      <c r="A29" s="950" t="s">
        <v>792</v>
      </c>
      <c r="B29" s="292" t="s">
        <v>2372</v>
      </c>
      <c r="C29" s="282">
        <f ca="1">ROUND(C21*F27*'数据-取费表'!B21/'数据-取费表'!B20,4)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143</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34</v>
      </c>
      <c r="D33" s="276"/>
      <c r="E33" s="256"/>
      <c r="F33" s="285"/>
      <c r="G33" s="278"/>
    </row>
    <row r="34" spans="1:7" s="302" customFormat="1" ht="13.5" customHeight="1">
      <c r="A34" s="950" t="s">
        <v>791</v>
      </c>
      <c r="B34" s="259" t="s">
        <v>2380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2381</v>
      </c>
    </row>
    <row r="35" spans="1:7" ht="13.5" customHeight="1">
      <c r="A35" s="950" t="s">
        <v>796</v>
      </c>
      <c r="B35" s="259" t="s">
        <v>2382</v>
      </c>
      <c r="C35" s="264">
        <f ca="1">ROUND(C34*F35,0)</f>
        <v>1</v>
      </c>
      <c r="D35" s="264"/>
      <c r="E35" s="264"/>
      <c r="F35" s="303">
        <f>'数据-取费表'!B33</f>
        <v>0.03</v>
      </c>
      <c r="G35" s="263" t="s">
        <v>2383</v>
      </c>
    </row>
    <row r="36" spans="1:7" ht="24">
      <c r="A36" s="950"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0" t="s">
        <v>798</v>
      </c>
      <c r="B37" s="259" t="s">
        <v>2386</v>
      </c>
      <c r="C37" s="293">
        <f ca="1">ROUND(E37*D37*F34/10000,0)</f>
        <v>2</v>
      </c>
      <c r="D37" s="261">
        <f ca="1">D19</f>
        <v>78.53</v>
      </c>
      <c r="E37" s="293">
        <f>'数据-取费表'!B35</f>
        <v>200</v>
      </c>
      <c r="F37" s="303"/>
      <c r="G37" s="305" t="s">
        <v>2387</v>
      </c>
    </row>
    <row r="38" spans="1:7" ht="13.5" customHeight="1">
      <c r="A38" s="950" t="s">
        <v>799</v>
      </c>
      <c r="B38" s="259" t="s">
        <v>2388</v>
      </c>
      <c r="C38" s="264">
        <f ca="1">ROUND(C34*F38,0)</f>
        <v>0</v>
      </c>
      <c r="D38" s="264"/>
      <c r="E38" s="264"/>
      <c r="F38" s="303">
        <f>'数据-取费表'!B36</f>
        <v>1.4999999999999999E-2</v>
      </c>
      <c r="G38" s="263" t="s">
        <v>2383</v>
      </c>
    </row>
    <row r="39" spans="1:7" s="258" customFormat="1" ht="13.5" customHeight="1">
      <c r="A39" s="299" t="s">
        <v>2389</v>
      </c>
      <c r="B39" s="254" t="s">
        <v>2390</v>
      </c>
      <c r="C39" s="276">
        <f ca="1">ROUND(C33*F20,0)</f>
        <v>1</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2</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ROUND(IF('数据-取费表'!B22&lt;=1,C33*F22*'数据-取费表'!B21/2,C33*(POWER((1+F22),'数据-取费表'!B21/2)-1)),0)</f>
        <v>2</v>
      </c>
      <c r="D42" s="282"/>
      <c r="E42" s="282"/>
      <c r="F42" s="283"/>
      <c r="G42" s="3196" t="s">
        <v>2399</v>
      </c>
    </row>
    <row r="43" spans="1:7" ht="13.5" customHeight="1">
      <c r="A43" s="950" t="s">
        <v>792</v>
      </c>
      <c r="B43" s="259" t="s">
        <v>2400</v>
      </c>
      <c r="C43" s="282">
        <f ca="1">ROUND(IF('数据-取费表'!B22&lt;=1,C39*F22*'数据-取费表'!B21/2,C39*(POWER((1+F22),'数据-取费表'!B21/2)-1)),0)</f>
        <v>0</v>
      </c>
      <c r="D43" s="282"/>
      <c r="E43" s="282"/>
      <c r="F43" s="283"/>
      <c r="G43" s="3197"/>
    </row>
    <row r="44" spans="1:7" ht="13.5" customHeight="1">
      <c r="A44" s="950" t="s">
        <v>793</v>
      </c>
      <c r="B44" s="259" t="s">
        <v>2401</v>
      </c>
      <c r="C44" s="282">
        <f ca="1">ROUND(IF('数据-取费表'!B22&lt;=1,C40*F22*'数据-取费表'!B21/2,C40*(POWER((1+F22),'数据-取费表'!B21/2)-1)),4)</f>
        <v>1E-3</v>
      </c>
      <c r="D44" s="282"/>
      <c r="E44" s="282"/>
      <c r="F44" s="283"/>
      <c r="G44" s="3198"/>
    </row>
    <row r="45" spans="1:7" s="258" customFormat="1" ht="13.5" customHeight="1">
      <c r="A45" s="299" t="s">
        <v>2402</v>
      </c>
      <c r="B45" s="288" t="s">
        <v>2368</v>
      </c>
      <c r="C45" s="289">
        <f ca="1">C46</f>
        <v>7</v>
      </c>
      <c r="D45" s="279">
        <f ca="1">C47</f>
        <v>4.0000000000000001E-3</v>
      </c>
      <c r="E45" s="280" t="s">
        <v>2394</v>
      </c>
      <c r="F45" s="290"/>
      <c r="G45" s="291" t="s">
        <v>2403</v>
      </c>
    </row>
    <row r="46" spans="1:7" s="258" customFormat="1" ht="13.5" customHeight="1">
      <c r="A46" s="950" t="s">
        <v>791</v>
      </c>
      <c r="B46" s="292" t="s">
        <v>2404</v>
      </c>
      <c r="C46" s="293">
        <f ca="1">ROUND((C33+C39)*F27,0)</f>
        <v>7</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1726">
        <f>ROUND(F30/(1+'数据-取费表'!C42),4)</f>
        <v>5.33E-2</v>
      </c>
      <c r="D48" s="280" t="s">
        <v>2394</v>
      </c>
      <c r="E48" s="276"/>
      <c r="F48" s="281"/>
      <c r="G48" s="278" t="s">
        <v>2407</v>
      </c>
    </row>
    <row r="49" spans="1:7" ht="16.5" customHeight="1">
      <c r="A49" s="299" t="s">
        <v>2373</v>
      </c>
      <c r="B49" s="254" t="s">
        <v>2408</v>
      </c>
      <c r="C49" s="276">
        <f ca="1">ROUND((C33+C39+C41+C45)/(1-C40-D41-D45-C48),0)</f>
        <v>48</v>
      </c>
      <c r="D49" s="276"/>
      <c r="E49" s="276"/>
      <c r="F49" s="308"/>
      <c r="G49" s="278" t="s">
        <v>2409</v>
      </c>
    </row>
    <row r="50" spans="1:7" s="302" customFormat="1" ht="24">
      <c r="A50" s="299" t="s">
        <v>2410</v>
      </c>
      <c r="B50" s="254" t="s">
        <v>2411</v>
      </c>
      <c r="C50" s="276"/>
      <c r="D50" s="276"/>
      <c r="E50" s="276"/>
      <c r="F50" s="308">
        <f>IF('数据-取费表'!B24=0,'数据-取费表'!N16,1)</f>
        <v>0.88</v>
      </c>
      <c r="G50" s="291" t="s">
        <v>2412</v>
      </c>
    </row>
    <row r="51" spans="1:7" ht="16.5" customHeight="1">
      <c r="A51" s="299" t="s">
        <v>2413</v>
      </c>
      <c r="B51" s="254" t="s">
        <v>2414</v>
      </c>
      <c r="C51" s="276">
        <f ca="1">ROUND(C49*F50,0)</f>
        <v>42</v>
      </c>
      <c r="D51" s="276"/>
      <c r="E51" s="276"/>
      <c r="F51" s="308"/>
      <c r="G51" s="278" t="s">
        <v>2415</v>
      </c>
    </row>
    <row r="52" spans="1:7" s="252" customFormat="1" ht="16.5" thickBot="1">
      <c r="A52" s="309" t="s">
        <v>2416</v>
      </c>
      <c r="B52" s="310"/>
      <c r="C52" s="311">
        <f ca="1">C31+C51</f>
        <v>185</v>
      </c>
      <c r="D52" s="310"/>
      <c r="E52" s="310"/>
      <c r="F52" s="310"/>
      <c r="G52" s="312"/>
    </row>
    <row r="55" spans="1:7" ht="15">
      <c r="B55" s="314" t="s">
        <v>2417</v>
      </c>
      <c r="C55" s="315"/>
    </row>
    <row r="56" spans="1:7">
      <c r="B56" s="317" t="s">
        <v>1508</v>
      </c>
      <c r="C56" s="319">
        <f ca="1">1-C57</f>
        <v>0.77300000000000002</v>
      </c>
    </row>
    <row r="57" spans="1:7">
      <c r="B57" s="317" t="s">
        <v>1509</v>
      </c>
      <c r="C57" s="318">
        <f ca="1">ROUND(C51/C52,3)</f>
        <v>0.22700000000000001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0" t="str">
        <f>项目基本情况!B1</f>
        <v>北京市丰台区南四环西路128号院2号楼5层610等4套办公用房房地产抵押价值预评估</v>
      </c>
      <c r="C37" s="3010"/>
      <c r="D37" s="3010"/>
      <c r="E37" s="3010"/>
      <c r="F37" s="3010"/>
      <c r="G37" s="3010"/>
      <c r="H37" s="3010"/>
      <c r="I37" s="3010"/>
    </row>
    <row r="38" spans="1:9">
      <c r="A38" s="1015"/>
      <c r="B38" s="1015"/>
    </row>
    <row r="39" spans="1:9">
      <c r="A39" s="1013" t="s">
        <v>818</v>
      </c>
      <c r="B39" s="1013" t="s">
        <v>820</v>
      </c>
    </row>
    <row r="40" spans="1:9">
      <c r="A40" s="1013"/>
      <c r="B40" s="1939" t="str">
        <f>项目基本情况!B5</f>
        <v>北京凯普林光电科技股份有限公司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王鹏（注册号：1120050019)、郑燚（注册号：1120070131)</v>
      </c>
    </row>
    <row r="47" spans="1:9">
      <c r="A47" s="1013"/>
      <c r="B47" s="1013" t="str">
        <f>项目基本情况!K5</f>
        <v/>
      </c>
    </row>
    <row r="48" spans="1:9">
      <c r="A48" s="1013" t="s">
        <v>818</v>
      </c>
      <c r="B48" s="1013" t="s">
        <v>824</v>
      </c>
    </row>
    <row r="49" spans="2:2">
      <c r="B49" s="1939" t="str">
        <f>"康正预评字"&amp;项目基本情况!B2&amp;"号"</f>
        <v>康正预评字2019-1-0569-F02DYGJ2号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4"/>
      <c r="C1" s="2549" t="s">
        <v>2418</v>
      </c>
      <c r="D1" s="242"/>
      <c r="E1" s="242"/>
      <c r="F1" s="242"/>
      <c r="G1" s="1377">
        <f>MATCH(B1,'数据-取费表'!A6:A16,0)+5</f>
        <v>8</v>
      </c>
      <c r="H1" s="1280" t="str">
        <f>IF(ISERROR(FIND("住宅",B1)),"非住宅","住宅")</f>
        <v>非住宅</v>
      </c>
    </row>
    <row r="2" spans="1:8" s="244" customFormat="1" ht="18" customHeight="1">
      <c r="A2" s="245" t="s">
        <v>2317</v>
      </c>
      <c r="B2" s="246">
        <f ca="1">ROUND(IF(D2="——",C52/10000,C52/10000-E2),0)</f>
        <v>75</v>
      </c>
      <c r="C2" s="243" t="s">
        <v>2318</v>
      </c>
      <c r="D2" s="2543" t="s">
        <v>70</v>
      </c>
      <c r="E2" s="1438"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1723</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87044</v>
      </c>
      <c r="D5" s="255" t="s">
        <v>2324</v>
      </c>
      <c r="E5" s="256" t="s">
        <v>2325</v>
      </c>
      <c r="F5" s="256" t="s">
        <v>2326</v>
      </c>
      <c r="G5" s="257"/>
    </row>
    <row r="6" spans="1:8" s="258" customFormat="1" ht="13.5" customHeight="1">
      <c r="A6" s="948" t="s">
        <v>2327</v>
      </c>
      <c r="B6" s="259" t="s">
        <v>2328</v>
      </c>
      <c r="C6" s="260"/>
      <c r="D6" s="261"/>
      <c r="E6" s="262"/>
      <c r="F6" s="262"/>
      <c r="G6" s="263"/>
    </row>
    <row r="7" spans="1:8" s="258" customFormat="1" ht="13.5" customHeight="1">
      <c r="A7" s="948" t="s">
        <v>2329</v>
      </c>
      <c r="B7" s="259" t="s">
        <v>2330</v>
      </c>
      <c r="C7" s="264">
        <f>ROUND(C6*F7,0)</f>
        <v>0</v>
      </c>
      <c r="D7" s="264"/>
      <c r="E7" s="262"/>
      <c r="F7" s="265">
        <f>IF(项目基本情况!B8="出让",0,'数据-取费表'!B48+'数据-取费表'!B49)</f>
        <v>3.0499999999999999E-2</v>
      </c>
      <c r="G7" s="263"/>
    </row>
    <row r="8" spans="1:8" s="267" customFormat="1">
      <c r="A8" s="948" t="s">
        <v>2331</v>
      </c>
      <c r="B8" s="259" t="s">
        <v>2332</v>
      </c>
      <c r="C8" s="264">
        <f ca="1">IF(G8="已包含在土地购买价格中",0,C9+C10)</f>
        <v>87044</v>
      </c>
      <c r="D8" s="266"/>
      <c r="E8" s="264"/>
      <c r="F8" s="265"/>
      <c r="G8" s="2546"/>
    </row>
    <row r="9" spans="1:8" s="258" customFormat="1" ht="13.5" customHeight="1">
      <c r="A9" s="949" t="s">
        <v>800</v>
      </c>
      <c r="B9" s="268" t="s">
        <v>2333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2335</v>
      </c>
      <c r="C10" s="269">
        <f ca="1">ROUND(D10*E10,0)</f>
        <v>87044</v>
      </c>
      <c r="D10" s="1031">
        <f ca="1">IF(B1="",'数据-汇总表'!E6,IF(INDIRECT("'数据-取费表'!c"&amp;$G$1)="住宅",INDIRECT("'数据-取费表'!s"&amp;$G$1),INDIRECT("'数据-取费表'!k"&amp;$G$1)+INDIRECT("'数据-取费表'!s"&amp;$G$1)))</f>
        <v>435.22</v>
      </c>
      <c r="E10" s="269">
        <f>'数据-取费表'!B28</f>
        <v>200</v>
      </c>
      <c r="F10" s="265"/>
      <c r="G10" s="270"/>
    </row>
    <row r="11" spans="1:8" s="258" customFormat="1" ht="13.5" hidden="1" customHeight="1">
      <c r="A11" s="271" t="s">
        <v>7</v>
      </c>
      <c r="B11" s="259" t="s">
        <v>2336</v>
      </c>
      <c r="C11" s="255"/>
      <c r="D11" s="1033"/>
      <c r="E11" s="262"/>
      <c r="F11" s="262"/>
      <c r="G11" s="263"/>
    </row>
    <row r="12" spans="1:8" s="258" customFormat="1" ht="13.5" hidden="1" customHeight="1">
      <c r="A12" s="271" t="s">
        <v>8</v>
      </c>
      <c r="B12" s="259" t="s">
        <v>2419</v>
      </c>
      <c r="C12" s="255">
        <v>0</v>
      </c>
      <c r="D12" s="1033"/>
      <c r="E12" s="272"/>
      <c r="F12" s="265">
        <v>3.0499999999999999E-2</v>
      </c>
      <c r="G12" s="263"/>
    </row>
    <row r="13" spans="1:8" s="258" customFormat="1" ht="13.5" hidden="1" customHeight="1">
      <c r="A13" s="271" t="s">
        <v>9</v>
      </c>
      <c r="B13" s="259" t="s">
        <v>2420</v>
      </c>
      <c r="C13" s="255"/>
      <c r="D13" s="1033"/>
      <c r="E13" s="262"/>
      <c r="F13" s="262"/>
      <c r="G13" s="263"/>
    </row>
    <row r="14" spans="1:8" s="258" customFormat="1" ht="13.5" hidden="1" customHeight="1">
      <c r="A14" s="271" t="s">
        <v>10</v>
      </c>
      <c r="B14" s="259" t="s">
        <v>2332</v>
      </c>
      <c r="C14" s="255"/>
      <c r="D14" s="1033"/>
      <c r="E14" s="262"/>
      <c r="F14" s="262"/>
      <c r="G14" s="263" t="s">
        <v>2421</v>
      </c>
    </row>
    <row r="15" spans="1:8" s="258" customFormat="1" ht="13.5" hidden="1" customHeight="1">
      <c r="A15" s="271" t="s">
        <v>11</v>
      </c>
      <c r="B15" s="259" t="s">
        <v>2422</v>
      </c>
      <c r="C15" s="264"/>
      <c r="D15" s="1033"/>
      <c r="E15" s="262"/>
      <c r="F15" s="262"/>
      <c r="G15" s="263" t="s">
        <v>2423</v>
      </c>
    </row>
    <row r="16" spans="1:8" s="258" customFormat="1" ht="13.5" hidden="1" customHeight="1">
      <c r="A16" s="271" t="s">
        <v>12</v>
      </c>
      <c r="B16" s="259" t="s">
        <v>2332</v>
      </c>
      <c r="C16" s="264"/>
      <c r="D16" s="1033"/>
      <c r="E16" s="262"/>
      <c r="F16" s="262"/>
      <c r="G16" s="263"/>
    </row>
    <row r="17" spans="1:7" s="258" customFormat="1" ht="13.5" hidden="1" customHeight="1">
      <c r="A17" s="271" t="s">
        <v>13</v>
      </c>
      <c r="B17" s="259" t="s">
        <v>2424</v>
      </c>
      <c r="C17" s="273"/>
      <c r="D17" s="1034"/>
      <c r="E17" s="273"/>
      <c r="F17" s="273"/>
      <c r="G17" s="263" t="s">
        <v>2423</v>
      </c>
    </row>
    <row r="18" spans="1:7" s="258" customFormat="1" ht="13.5" hidden="1" customHeight="1">
      <c r="A18" s="271" t="s">
        <v>14</v>
      </c>
      <c r="B18" s="259" t="s">
        <v>2425</v>
      </c>
      <c r="C18" s="264">
        <v>0</v>
      </c>
      <c r="D18" s="1033"/>
      <c r="E18" s="262"/>
      <c r="F18" s="265">
        <v>3.0499999999999999E-2</v>
      </c>
      <c r="G18" s="263" t="s">
        <v>2426</v>
      </c>
    </row>
    <row r="19" spans="1:7" s="267" customFormat="1" ht="13.5" customHeight="1">
      <c r="A19" s="299" t="s">
        <v>2427</v>
      </c>
      <c r="B19" s="254" t="s">
        <v>2428</v>
      </c>
      <c r="C19" s="255">
        <f ca="1">IF(G19="已包含在土地取得成本中","0",ROUND(D19*E19,0))</f>
        <v>87044</v>
      </c>
      <c r="D19" s="1035">
        <f ca="1">D9+D10</f>
        <v>435.22</v>
      </c>
      <c r="E19" s="255">
        <f>'数据-取费表'!B31</f>
        <v>200</v>
      </c>
      <c r="F19" s="275"/>
      <c r="G19" s="2546"/>
    </row>
    <row r="20" spans="1:7" s="258" customFormat="1" ht="13.5" customHeight="1">
      <c r="A20" s="299" t="s">
        <v>2429</v>
      </c>
      <c r="B20" s="254" t="s">
        <v>2430</v>
      </c>
      <c r="C20" s="276">
        <f ca="1">ROUND((C5+C19)*F20,0)</f>
        <v>3482</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8">
        <f ca="1">ROUND(SUM(C23:C25),0)</f>
        <v>17097</v>
      </c>
      <c r="D22" s="279">
        <f ca="1">C26</f>
        <v>1E-3</v>
      </c>
      <c r="E22" s="280" t="s">
        <v>2434</v>
      </c>
      <c r="F22" s="281">
        <f ca="1">'数据-取费表'!B40</f>
        <v>4.7500000000000001E-2</v>
      </c>
      <c r="G22" s="278" t="str">
        <f>IF('数据-取费表'!B22&lt;=1,"单利计息","复利计息")</f>
        <v>复利计息</v>
      </c>
    </row>
    <row r="23" spans="1:7" s="258" customFormat="1" ht="13.5" customHeight="1">
      <c r="A23" s="950" t="s">
        <v>2327</v>
      </c>
      <c r="B23" s="259" t="s">
        <v>2438</v>
      </c>
      <c r="C23" s="1379">
        <f ca="1">ROUND(IF('数据-取费表'!B22&lt;=1,C5*F22*'数据-取费表'!B22,C5*(POWER((1+F22),'数据-取费表'!B22)-1)),0)</f>
        <v>8466</v>
      </c>
      <c r="D23" s="282"/>
      <c r="E23" s="282"/>
      <c r="F23" s="283"/>
      <c r="G23" s="284" t="s">
        <v>2439</v>
      </c>
    </row>
    <row r="24" spans="1:7" s="258" customFormat="1" ht="13.5" customHeight="1">
      <c r="A24" s="950" t="s">
        <v>2329</v>
      </c>
      <c r="B24" s="259" t="s">
        <v>2440</v>
      </c>
      <c r="C24" s="1379">
        <f ca="1">ROUND(IF('数据-取费表'!B22&lt;=1,C19*F22*('数据-取费表'!B19/2+'数据-取费表'!B20),C19*(POWER((1+F22),('数据-取费表'!B19/2+'数据-取费表'!B20))-1)),0)</f>
        <v>8466</v>
      </c>
      <c r="D24" s="282"/>
      <c r="E24" s="282"/>
      <c r="F24" s="283"/>
      <c r="G24" s="284" t="s">
        <v>2441</v>
      </c>
    </row>
    <row r="25" spans="1:7" s="258" customFormat="1" ht="24">
      <c r="A25" s="950" t="s">
        <v>2331</v>
      </c>
      <c r="B25" s="259" t="s">
        <v>2442</v>
      </c>
      <c r="C25" s="1379">
        <f ca="1">ROUND(IF('数据-取费表'!B22&lt;=1,C20*F22*'数据-取费表'!B22/2,C20*(POWER((1+F22),'数据-取费表'!B22/2)-1)),0)</f>
        <v>165</v>
      </c>
      <c r="D25" s="282"/>
      <c r="E25" s="285"/>
      <c r="F25" s="283"/>
      <c r="G25" s="286" t="s">
        <v>2443</v>
      </c>
    </row>
    <row r="26" spans="1:7" s="258" customFormat="1">
      <c r="A26" s="950"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35514</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ROUND((C5+C19+C20)*F27,0)</f>
        <v>35514</v>
      </c>
      <c r="D28" s="279"/>
      <c r="E28" s="280"/>
      <c r="F28" s="290"/>
      <c r="G28" s="291"/>
    </row>
    <row r="29" spans="1:7" s="258" customFormat="1" ht="13.5" customHeight="1">
      <c r="A29" s="950" t="s">
        <v>792</v>
      </c>
      <c r="B29" s="292" t="s">
        <v>2372</v>
      </c>
      <c r="C29" s="282">
        <f ca="1">ROUND(C21*F27,4)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249735</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415300</v>
      </c>
      <c r="D33" s="276"/>
      <c r="E33" s="256"/>
      <c r="F33" s="285"/>
      <c r="G33" s="278"/>
    </row>
    <row r="34" spans="1:7" s="302" customFormat="1" ht="13.5" customHeight="1">
      <c r="A34" s="950" t="s">
        <v>791</v>
      </c>
      <c r="B34" s="259" t="s">
        <v>2380</v>
      </c>
      <c r="C34" s="264">
        <f ca="1">ROUND(IF(B1="",SUMPRODUCT('数据-取费表'!K6:K14,'数据-取费表'!L6:L14),INDIRECT("'数据-取费表'!l"&amp;$G$1)*INDIRECT("'数据-取费表'!k"&amp;$G$1)+'数据-取费表'!L14*INDIRECT("'数据-取费表'!S"&amp;$G$1)),0)</f>
        <v>314120</v>
      </c>
      <c r="D34" s="261"/>
      <c r="E34" s="264"/>
      <c r="F34" s="301"/>
      <c r="G34" s="263"/>
    </row>
    <row r="35" spans="1:7" ht="13.5" customHeight="1">
      <c r="A35" s="950" t="s">
        <v>796</v>
      </c>
      <c r="B35" s="259" t="s">
        <v>2382</v>
      </c>
      <c r="C35" s="264">
        <f ca="1">ROUND(C34*F35,0)</f>
        <v>9424</v>
      </c>
      <c r="D35" s="264"/>
      <c r="E35" s="264"/>
      <c r="F35" s="303">
        <f>'数据-取费表'!B33</f>
        <v>0.03</v>
      </c>
      <c r="G35" s="263" t="s">
        <v>2383</v>
      </c>
    </row>
    <row r="36" spans="1:7" ht="24">
      <c r="A36" s="950"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0" t="s">
        <v>798</v>
      </c>
      <c r="B37" s="259" t="s">
        <v>2386</v>
      </c>
      <c r="C37" s="293">
        <f ca="1">ROUND(E37*D37,0)</f>
        <v>87044</v>
      </c>
      <c r="D37" s="261">
        <f ca="1">D19</f>
        <v>435.22</v>
      </c>
      <c r="E37" s="293">
        <f>'数据-取费表'!B35</f>
        <v>200</v>
      </c>
      <c r="F37" s="303"/>
      <c r="G37" s="305"/>
    </row>
    <row r="38" spans="1:7" ht="13.5" customHeight="1">
      <c r="A38" s="950" t="s">
        <v>799</v>
      </c>
      <c r="B38" s="259" t="s">
        <v>2388</v>
      </c>
      <c r="C38" s="264">
        <f ca="1">ROUND(C34*F38,0)</f>
        <v>4712</v>
      </c>
      <c r="D38" s="264"/>
      <c r="E38" s="264"/>
      <c r="F38" s="303">
        <f>'数据-取费表'!B36</f>
        <v>1.4999999999999999E-2</v>
      </c>
      <c r="G38" s="263" t="s">
        <v>2383</v>
      </c>
    </row>
    <row r="39" spans="1:7" s="258" customFormat="1" ht="13.5" customHeight="1">
      <c r="A39" s="299" t="s">
        <v>2389</v>
      </c>
      <c r="B39" s="254" t="s">
        <v>2390</v>
      </c>
      <c r="C39" s="276">
        <f ca="1">ROUND(C33*F20,0)</f>
        <v>8306</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20122</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ROUND(IF('数据-取费表'!B22&lt;=1,C33*F22*'数据-取费表'!B20/2,C33*(POWER((1+F22),'数据-取费表'!B20/2)-1)),0)</f>
        <v>19727</v>
      </c>
      <c r="D42" s="282"/>
      <c r="E42" s="282"/>
      <c r="F42" s="283"/>
      <c r="G42" s="3196" t="s">
        <v>2446</v>
      </c>
    </row>
    <row r="43" spans="1:7" ht="13.5" customHeight="1">
      <c r="A43" s="950" t="s">
        <v>792</v>
      </c>
      <c r="B43" s="259" t="s">
        <v>2400</v>
      </c>
      <c r="C43" s="282">
        <f ca="1">ROUND(IF('数据-取费表'!B22&lt;=1,C39*F22*'数据-取费表'!B20/2,C39*(POWER((1+F22),'数据-取费表'!B20/2)-1)),0)</f>
        <v>395</v>
      </c>
      <c r="D43" s="282"/>
      <c r="E43" s="282"/>
      <c r="F43" s="283"/>
      <c r="G43" s="3197"/>
    </row>
    <row r="44" spans="1:7" ht="13.5" customHeight="1">
      <c r="A44" s="950" t="s">
        <v>793</v>
      </c>
      <c r="B44" s="259" t="s">
        <v>2401</v>
      </c>
      <c r="C44" s="282">
        <f ca="1">ROUND(IF('数据-取费表'!B22&lt;=1,C40*F22*'数据-取费表'!B20/2,C40*(POWER((1+F22),'数据-取费表'!B20/2)-1)),4)</f>
        <v>1E-3</v>
      </c>
      <c r="D44" s="282"/>
      <c r="E44" s="282"/>
      <c r="F44" s="283"/>
      <c r="G44" s="3198"/>
    </row>
    <row r="45" spans="1:7" s="258" customFormat="1" ht="13.5" customHeight="1">
      <c r="A45" s="299" t="s">
        <v>2402</v>
      </c>
      <c r="B45" s="288" t="s">
        <v>2368</v>
      </c>
      <c r="C45" s="289">
        <f ca="1">C46</f>
        <v>84721</v>
      </c>
      <c r="D45" s="279">
        <f ca="1">C47</f>
        <v>4.0000000000000001E-3</v>
      </c>
      <c r="E45" s="280" t="s">
        <v>2394</v>
      </c>
      <c r="F45" s="290"/>
      <c r="G45" s="291" t="s">
        <v>2403</v>
      </c>
    </row>
    <row r="46" spans="1:7" s="258" customFormat="1" ht="13.5" customHeight="1">
      <c r="A46" s="950" t="s">
        <v>791</v>
      </c>
      <c r="B46" s="292" t="s">
        <v>2404</v>
      </c>
      <c r="C46" s="293">
        <f ca="1">ROUND((C33+C39)*F27,0)</f>
        <v>84721</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573342</v>
      </c>
      <c r="D49" s="276"/>
      <c r="E49" s="276"/>
      <c r="F49" s="308"/>
      <c r="G49" s="278" t="s">
        <v>2409</v>
      </c>
    </row>
    <row r="50" spans="1:7" s="302" customFormat="1">
      <c r="A50" s="299" t="s">
        <v>2410</v>
      </c>
      <c r="B50" s="254" t="s">
        <v>2411</v>
      </c>
      <c r="C50" s="276"/>
      <c r="D50" s="276"/>
      <c r="E50" s="276"/>
      <c r="F50" s="308">
        <f>IF('数据-取费表'!B24=0,'数据-取费表'!N16,1)</f>
        <v>0.88</v>
      </c>
      <c r="G50" s="291"/>
    </row>
    <row r="51" spans="1:7" ht="16.5" customHeight="1">
      <c r="A51" s="299" t="s">
        <v>2413</v>
      </c>
      <c r="B51" s="254" t="s">
        <v>2448</v>
      </c>
      <c r="C51" s="276">
        <f ca="1">ROUND(C49*F50,0)</f>
        <v>504541</v>
      </c>
      <c r="D51" s="276"/>
      <c r="E51" s="276"/>
      <c r="F51" s="308"/>
      <c r="G51" s="278" t="s">
        <v>2415</v>
      </c>
    </row>
    <row r="52" spans="1:7" s="252" customFormat="1" ht="16.5" thickBot="1">
      <c r="A52" s="309" t="s">
        <v>2416</v>
      </c>
      <c r="B52" s="310"/>
      <c r="C52" s="311">
        <f ca="1">C31+C51</f>
        <v>754276</v>
      </c>
      <c r="D52" s="310"/>
      <c r="E52" s="310"/>
      <c r="F52" s="310"/>
      <c r="G52" s="312"/>
    </row>
    <row r="55" spans="1:7" ht="15">
      <c r="B55" s="314" t="s">
        <v>2417</v>
      </c>
      <c r="C55" s="315"/>
    </row>
    <row r="56" spans="1:7">
      <c r="B56" s="317" t="s">
        <v>1508</v>
      </c>
      <c r="C56" s="319">
        <f ca="1">1-C57</f>
        <v>0.33099999999999996</v>
      </c>
    </row>
    <row r="57" spans="1:7">
      <c r="B57" s="317" t="s">
        <v>1509</v>
      </c>
      <c r="C57" s="318">
        <f ca="1">ROUND(C51/C52,3)</f>
        <v>0.66900000000000004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2449</v>
      </c>
      <c r="B1" s="1579"/>
      <c r="C1" s="1580"/>
      <c r="D1" s="1578"/>
      <c r="E1" s="320"/>
      <c r="F1" s="320"/>
      <c r="G1" s="1579"/>
      <c r="H1" s="320"/>
      <c r="I1" s="320"/>
      <c r="J1" s="320"/>
      <c r="K1" s="320">
        <f>MATCH(C1,'数据-取费表'!A6:A16,0)+5</f>
        <v>8</v>
      </c>
    </row>
    <row r="2" spans="1:33" ht="18" customHeight="1">
      <c r="A2" s="245" t="s">
        <v>2317</v>
      </c>
      <c r="B2" s="248">
        <f ca="1">C32</f>
        <v>-11</v>
      </c>
      <c r="C2" s="320" t="s">
        <v>2450</v>
      </c>
      <c r="D2" s="320"/>
      <c r="E2" s="320"/>
      <c r="F2" s="320"/>
      <c r="G2" s="320"/>
      <c r="H2" s="320"/>
      <c r="I2" s="320"/>
      <c r="J2" s="320"/>
      <c r="K2" s="320"/>
    </row>
    <row r="3" spans="1:33" ht="18" customHeight="1" thickBot="1">
      <c r="A3" s="247" t="s">
        <v>2319</v>
      </c>
      <c r="B3" s="248">
        <f ca="1">ROUND(B2*10000/IF(C1="",'数据-汇总表'!E3,INDIRECT("'数据-取费表'!K"&amp;$K$1)),0)</f>
        <v>-253</v>
      </c>
      <c r="C3" s="320" t="s">
        <v>2451</v>
      </c>
      <c r="D3" s="320"/>
      <c r="E3" s="320"/>
      <c r="F3" s="320"/>
      <c r="G3" s="320"/>
      <c r="H3" s="320"/>
      <c r="I3" s="320"/>
      <c r="J3" s="320"/>
      <c r="K3" s="320"/>
    </row>
    <row r="4" spans="1:33" s="955" customFormat="1" ht="16.5" customHeight="1">
      <c r="A4" s="952" t="s">
        <v>2452</v>
      </c>
      <c r="B4" s="953"/>
      <c r="C4" s="995">
        <f>SUM(C8:K8)</f>
        <v>0</v>
      </c>
      <c r="D4" s="953"/>
      <c r="E4" s="953"/>
      <c r="F4" s="953"/>
      <c r="G4" s="953"/>
      <c r="H4" s="953"/>
      <c r="I4" s="953"/>
      <c r="J4" s="953"/>
      <c r="K4" s="954"/>
    </row>
    <row r="5" spans="1:33" s="959" customFormat="1" ht="24.75">
      <c r="A5" s="956" t="s">
        <v>2453</v>
      </c>
      <c r="B5" s="957" t="s">
        <v>2454</v>
      </c>
      <c r="C5" s="2550" t="s">
        <v>2455</v>
      </c>
      <c r="D5" s="2550" t="s">
        <v>2456</v>
      </c>
      <c r="E5" s="2550" t="s">
        <v>2457</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2461</v>
      </c>
      <c r="B8" s="177"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5"/>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435.22</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435.22</v>
      </c>
      <c r="E17" s="24">
        <f>'数据-取费表'!B32</f>
        <v>0</v>
      </c>
      <c r="F17" s="977"/>
      <c r="G17" s="140" t="s">
        <v>2481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9</v>
      </c>
      <c r="D18" s="1032"/>
      <c r="E18" s="24"/>
      <c r="F18" s="975"/>
      <c r="G18" s="2552"/>
      <c r="H18" s="1575"/>
      <c r="I18" s="2553"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2485</v>
      </c>
      <c r="C20" s="24">
        <f ca="1">ROUND(D20*E20/10000,0)</f>
        <v>9</v>
      </c>
      <c r="D20" s="1032">
        <f ca="1">IF(C1="",'数据-汇总表'!E6,IF(INDIRECT("'数据-取费表'!c"&amp;$K$1)="住宅",INDIRECT("'数据-取费表'!s"&amp;$K$1),INDIRECT("'数据-取费表'!k"&amp;$K$1)+INDIRECT("'数据-取费表'!s"&amp;$K$1)))</f>
        <v>435.22</v>
      </c>
      <c r="E20" s="24">
        <f>'数据-取费表'!B28</f>
        <v>200</v>
      </c>
      <c r="F20" s="975"/>
      <c r="G20" s="15"/>
      <c r="H20" s="980"/>
      <c r="I20" s="980"/>
      <c r="J20" s="980"/>
      <c r="K20" s="981"/>
    </row>
    <row r="21" spans="1:33" s="974" customFormat="1" ht="13.5" customHeight="1">
      <c r="A21" s="960" t="s">
        <v>802</v>
      </c>
      <c r="B21" s="984" t="s">
        <v>2486</v>
      </c>
      <c r="C21" s="985">
        <f ca="1">C16+C17+C18</f>
        <v>9</v>
      </c>
      <c r="D21" s="986"/>
      <c r="E21" s="325"/>
      <c r="F21" s="325"/>
      <c r="G21" s="140" t="s">
        <v>2487</v>
      </c>
      <c r="H21" s="978"/>
      <c r="I21" s="978"/>
      <c r="J21" s="978"/>
      <c r="K21" s="979"/>
    </row>
    <row r="22" spans="1:33" s="974" customFormat="1" ht="13.5" customHeight="1">
      <c r="A22" s="960" t="s">
        <v>2459</v>
      </c>
      <c r="B22" s="984" t="s">
        <v>2488</v>
      </c>
      <c r="C22" s="985">
        <f ca="1">ROUND(C21*F22,0)</f>
        <v>0</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0</v>
      </c>
      <c r="D23" s="325"/>
      <c r="E23" s="325"/>
      <c r="F23" s="987">
        <f>'数据-取费表'!B38</f>
        <v>0.02</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2499</v>
      </c>
      <c r="B28" s="2555" t="s">
        <v>2500</v>
      </c>
      <c r="C28" s="331">
        <f ca="1">C30</f>
        <v>2</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2501</v>
      </c>
      <c r="C29" s="328">
        <f ca="1">ROUND((1+C24)*F28*'数据-取费表'!B24/'数据-取费表'!B20,4)</f>
        <v>0</v>
      </c>
      <c r="D29" s="328"/>
      <c r="E29" s="329"/>
      <c r="F29" s="334"/>
      <c r="G29" s="140" t="s">
        <v>2502</v>
      </c>
      <c r="H29" s="978"/>
      <c r="I29" s="978"/>
      <c r="J29" s="978"/>
      <c r="K29" s="979"/>
    </row>
    <row r="30" spans="1:33" s="335" customFormat="1" ht="13.5" customHeight="1">
      <c r="A30" s="970" t="s">
        <v>804</v>
      </c>
      <c r="B30" s="993" t="s">
        <v>2503</v>
      </c>
      <c r="C30" s="336">
        <f ca="1">ROUND((C21+C22+C23)*F28,0)</f>
        <v>2</v>
      </c>
      <c r="D30" s="328"/>
      <c r="E30" s="329"/>
      <c r="F30" s="334"/>
      <c r="G30" s="140"/>
      <c r="H30" s="978"/>
      <c r="I30" s="978"/>
      <c r="J30" s="978"/>
      <c r="K30" s="979"/>
    </row>
    <row r="31" spans="1:33" s="974" customFormat="1" ht="13.5" customHeight="1" thickBot="1">
      <c r="A31" s="2556" t="s">
        <v>2504</v>
      </c>
      <c r="B31" s="1004" t="s">
        <v>2505</v>
      </c>
      <c r="C31" s="1005">
        <f>ROUND(C4*F31/(1+'数据-取费表'!C42),0)</f>
        <v>0</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-11</v>
      </c>
      <c r="D32" s="1000"/>
      <c r="E32" s="1000"/>
      <c r="F32" s="1000"/>
      <c r="G32" s="1002" t="s">
        <v>2508</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t="s">
        <v>27</v>
      </c>
      <c r="D1" s="2412"/>
      <c r="E1" s="2412"/>
      <c r="F1" s="2414" t="s">
        <v>2108</v>
      </c>
      <c r="G1" s="2065" t="s">
        <v>3058</v>
      </c>
      <c r="H1" s="2415" t="str">
        <f>IF(G1="现房","——","估价对象范围")</f>
        <v>——</v>
      </c>
      <c r="I1" s="2416"/>
    </row>
    <row r="2" spans="1:12" ht="21.75" customHeight="1" thickBot="1">
      <c r="A2" s="3175" t="str">
        <f>项目基本情况!S2</f>
        <v>北京市丰台区南四环西路128号院2号楼5层610等4套办公用房房地产</v>
      </c>
      <c r="B2" s="3176"/>
      <c r="C2" s="3176"/>
      <c r="D2" s="3176"/>
      <c r="E2" s="3176"/>
      <c r="F2" s="3176"/>
      <c r="G2" s="3176"/>
      <c r="H2" s="3176"/>
      <c r="I2" s="3177"/>
    </row>
    <row r="3" spans="1:12" ht="12.75">
      <c r="A3" s="3178" t="s">
        <v>2109</v>
      </c>
      <c r="B3" s="3179"/>
      <c r="C3" s="3179"/>
      <c r="D3" s="3179"/>
      <c r="E3" s="3179"/>
      <c r="F3" s="3179"/>
      <c r="G3" s="3179"/>
      <c r="H3" s="3179"/>
      <c r="I3" s="3179"/>
    </row>
    <row r="4" spans="1:12" ht="14.25">
      <c r="A4" s="2419" t="s">
        <v>2110</v>
      </c>
      <c r="B4" s="2420" t="s">
        <v>2111</v>
      </c>
      <c r="C4" s="2421" t="s">
        <v>3190</v>
      </c>
      <c r="D4" s="2421" t="s">
        <v>3085</v>
      </c>
      <c r="E4" s="3159" t="s">
        <v>2112</v>
      </c>
      <c r="F4" s="3172"/>
      <c r="G4" s="3172"/>
      <c r="H4" s="3172"/>
      <c r="I4" s="3160"/>
      <c r="K4" s="2422" t="str">
        <f>IF(ISNUMBER(FIND("比较法",'结果表 (2)'!C4)),"比较法",IF(ISNUMBER(FIND("成本法",'结果表 (2)'!C4)),"成本法",IF(ISNUMBER(FIND("假设开发法",'结果表 (2)'!C4)),"假设开发法",IF(ISNUMBER(FIND("收益法",'结果表 (2)'!C4)),"收益法","基准地价系数修正法"))))</f>
        <v>收益法</v>
      </c>
      <c r="L4" s="2422" t="str">
        <f>IF(ISNUMBER(FIND("比较法",'结果表 (2)'!D4)),"比较法",IF(ISNUMBER(FIND("成本法",'结果表 (2)'!D4)),"成本法",IF(ISNUMBER(FIND("假设开发法",'结果表 (2)'!D4)),"假设开发法",IF(ISNUMBER(FIND("收益法",'结果表 (2)'!D4)),"收益法","基准地价系数修正法"))))</f>
        <v>比较法</v>
      </c>
    </row>
    <row r="5" spans="1:12" ht="12.75">
      <c r="A5" s="3150" t="s">
        <v>2113</v>
      </c>
      <c r="B5" s="3076">
        <v>25</v>
      </c>
      <c r="C5" s="3180"/>
      <c r="D5" s="3168"/>
      <c r="E5" s="140" t="s">
        <v>2114</v>
      </c>
      <c r="F5" s="2423"/>
      <c r="G5" s="2423"/>
      <c r="H5" s="2423"/>
      <c r="I5" s="1829"/>
    </row>
    <row r="6" spans="1:12" ht="12.75">
      <c r="A6" s="3150"/>
      <c r="B6" s="3076"/>
      <c r="C6" s="3182"/>
      <c r="D6" s="3168"/>
      <c r="E6" s="140" t="s">
        <v>2115</v>
      </c>
      <c r="F6" s="2423"/>
      <c r="G6" s="2423"/>
      <c r="H6" s="2423"/>
      <c r="I6" s="1829"/>
    </row>
    <row r="7" spans="1:12" ht="12.75">
      <c r="A7" s="3150"/>
      <c r="B7" s="3076"/>
      <c r="C7" s="3181"/>
      <c r="D7" s="3168"/>
      <c r="E7" s="140" t="s">
        <v>2116</v>
      </c>
      <c r="F7" s="2423"/>
      <c r="G7" s="2423"/>
      <c r="H7" s="2423"/>
      <c r="I7" s="1829"/>
    </row>
    <row r="8" spans="1:12" ht="12.75">
      <c r="A8" s="3150" t="s">
        <v>2117</v>
      </c>
      <c r="B8" s="3076">
        <v>15</v>
      </c>
      <c r="C8" s="3180"/>
      <c r="D8" s="3168"/>
      <c r="E8" s="140" t="s">
        <v>2118</v>
      </c>
      <c r="F8" s="2423"/>
      <c r="G8" s="2423"/>
      <c r="H8" s="2423"/>
      <c r="I8" s="1829"/>
    </row>
    <row r="9" spans="1:12" ht="12.75">
      <c r="A9" s="3150"/>
      <c r="B9" s="3076"/>
      <c r="C9" s="3181"/>
      <c r="D9" s="3168"/>
      <c r="E9" s="140" t="s">
        <v>2119</v>
      </c>
      <c r="F9" s="2423"/>
      <c r="G9" s="2423"/>
      <c r="H9" s="2423"/>
      <c r="I9" s="1829"/>
    </row>
    <row r="10" spans="1:12" ht="12.75">
      <c r="A10" s="3150" t="s">
        <v>2120</v>
      </c>
      <c r="B10" s="3076">
        <v>15</v>
      </c>
      <c r="C10" s="3180"/>
      <c r="D10" s="3168"/>
      <c r="E10" s="140" t="s">
        <v>2121</v>
      </c>
      <c r="F10" s="2423"/>
      <c r="G10" s="2423"/>
      <c r="H10" s="2423"/>
      <c r="I10" s="1829"/>
    </row>
    <row r="11" spans="1:12" ht="12.75">
      <c r="A11" s="3150"/>
      <c r="B11" s="3076"/>
      <c r="C11" s="3181"/>
      <c r="D11" s="3168"/>
      <c r="E11" s="140" t="s">
        <v>2122</v>
      </c>
      <c r="F11" s="2423"/>
      <c r="G11" s="2423"/>
      <c r="H11" s="2423"/>
      <c r="I11" s="1829"/>
    </row>
    <row r="12" spans="1:12" ht="12.75">
      <c r="A12" s="3150" t="s">
        <v>2123</v>
      </c>
      <c r="B12" s="3076">
        <v>15</v>
      </c>
      <c r="C12" s="3180"/>
      <c r="D12" s="3168"/>
      <c r="E12" s="140" t="s">
        <v>2124</v>
      </c>
      <c r="F12" s="2423"/>
      <c r="G12" s="2423"/>
      <c r="H12" s="2423"/>
      <c r="I12" s="1829"/>
    </row>
    <row r="13" spans="1:12" ht="12.75">
      <c r="A13" s="3150"/>
      <c r="B13" s="3076"/>
      <c r="C13" s="3181"/>
      <c r="D13" s="3168"/>
      <c r="E13" s="140" t="s">
        <v>2125</v>
      </c>
      <c r="F13" s="2423"/>
      <c r="G13" s="2423"/>
      <c r="H13" s="2423"/>
      <c r="I13" s="1829"/>
    </row>
    <row r="14" spans="1:12" ht="12.75">
      <c r="A14" s="3150" t="s">
        <v>2126</v>
      </c>
      <c r="B14" s="3076">
        <v>30</v>
      </c>
      <c r="C14" s="3180">
        <v>4</v>
      </c>
      <c r="D14" s="3168">
        <v>6</v>
      </c>
      <c r="E14" s="140" t="s">
        <v>2127</v>
      </c>
      <c r="F14" s="2423"/>
      <c r="G14" s="2423"/>
      <c r="H14" s="2423"/>
      <c r="I14" s="1829"/>
    </row>
    <row r="15" spans="1:12" ht="12.75">
      <c r="A15" s="3150"/>
      <c r="B15" s="3076"/>
      <c r="C15" s="3182"/>
      <c r="D15" s="3168"/>
      <c r="E15" s="140" t="s">
        <v>2128</v>
      </c>
      <c r="F15" s="2423"/>
      <c r="G15" s="2423"/>
      <c r="H15" s="2423"/>
      <c r="I15" s="1829"/>
    </row>
    <row r="16" spans="1:12" ht="12.75">
      <c r="A16" s="3150"/>
      <c r="B16" s="3076"/>
      <c r="C16" s="3181"/>
      <c r="D16" s="3168"/>
      <c r="E16" s="140" t="s">
        <v>2129</v>
      </c>
      <c r="F16" s="2423"/>
      <c r="G16" s="2423"/>
      <c r="H16" s="2423"/>
      <c r="I16" s="1829"/>
    </row>
    <row r="17" spans="1:35" ht="15">
      <c r="A17" s="2424" t="s">
        <v>2130</v>
      </c>
      <c r="B17" s="64"/>
      <c r="C17" s="141">
        <f>SUM(C5:C16)</f>
        <v>4</v>
      </c>
      <c r="D17" s="141">
        <f>SUM(D5:D16)</f>
        <v>6</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78.53</v>
      </c>
      <c r="M18" s="2422">
        <f>IF(C1="",'数据-汇总表'!E3,SUMIF(项目类型,C1,'数据-汇总表'!E17:E26))</f>
        <v>78.53</v>
      </c>
    </row>
    <row r="19" spans="1:35" ht="15">
      <c r="A19" s="2428" t="s">
        <v>2135</v>
      </c>
      <c r="B19" s="2429" t="s">
        <v>2136</v>
      </c>
      <c r="C19" s="143">
        <f ca="1">SUMIF(INDIRECT("'"&amp;C4&amp;"'"&amp;"!A:A"),'结果表 (2)'!B19,INDIRECT("'"&amp;C4&amp;"'"&amp;"!B:B"))</f>
        <v>273</v>
      </c>
      <c r="D19" s="144">
        <f ca="1">SUMIF(INDIRECT("'"&amp;D4&amp;"'"&amp;"!A:A"),'结果表 (2)'!B19,INDIRECT("'"&amp;D4&amp;"'"&amp;"!B:B"))</f>
        <v>339</v>
      </c>
      <c r="E19" s="2428" t="s">
        <v>2137</v>
      </c>
      <c r="F19" s="2429" t="s">
        <v>2136</v>
      </c>
      <c r="G19" s="145">
        <f ca="1">ROUND(C19*$C$18+D19*$D$18,0)</f>
        <v>313</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 (2)'!B20,INDIRECT("'"&amp;C4&amp;"'"&amp;"!B:B"))</f>
        <v>34785</v>
      </c>
      <c r="D20" s="147">
        <f ca="1">SUMIF(INDIRECT("'"&amp;D4&amp;"'"&amp;"!A:A"),'结果表 (2)'!B20,INDIRECT("'"&amp;D4&amp;"'"&amp;"!B:B"))</f>
        <v>43177</v>
      </c>
      <c r="E20" s="2431"/>
      <c r="F20" s="1245" t="s">
        <v>2140</v>
      </c>
      <c r="G20" s="148">
        <f ca="1">ROUND(C20*$C$18+D20*$D$18,0)</f>
        <v>39820</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0.24175824175824179</v>
      </c>
      <c r="E22" s="138"/>
      <c r="F22" s="138"/>
      <c r="G22" s="138"/>
      <c r="H22" s="138"/>
      <c r="I22" s="138"/>
    </row>
    <row r="23" spans="1:35" ht="13.5" thickBot="1">
      <c r="A23" s="2412"/>
      <c r="B23" s="2412"/>
      <c r="C23" s="2412"/>
      <c r="D23" s="2412"/>
      <c r="E23" s="138"/>
      <c r="F23" s="138"/>
      <c r="G23" s="138"/>
      <c r="H23" s="138"/>
      <c r="I23" s="138"/>
    </row>
    <row r="24" spans="1:35" ht="14.25">
      <c r="A24" s="3189" t="s">
        <v>2144</v>
      </c>
      <c r="B24" s="2429" t="s">
        <v>2136</v>
      </c>
      <c r="C24" s="145">
        <f>IF(B30=0,0,D30)</f>
        <v>0</v>
      </c>
      <c r="D24" s="2436"/>
      <c r="E24" s="138"/>
      <c r="F24" s="138"/>
      <c r="G24" s="138"/>
      <c r="H24" s="138"/>
      <c r="I24" s="138"/>
    </row>
    <row r="25" spans="1:35" ht="14.25">
      <c r="A25" s="3190"/>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313</v>
      </c>
      <c r="D32" s="2443" t="s">
        <v>2151</v>
      </c>
      <c r="E32" s="138"/>
      <c r="F32" s="138"/>
      <c r="G32" s="138"/>
      <c r="H32" s="138"/>
      <c r="I32" s="138"/>
    </row>
    <row r="33" spans="1:15" ht="15">
      <c r="A33" s="956" t="s">
        <v>2152</v>
      </c>
      <c r="B33" s="2444"/>
      <c r="C33" s="2445"/>
      <c r="D33" s="2446"/>
      <c r="E33" s="2447" t="s">
        <v>2153</v>
      </c>
      <c r="F33" s="2981"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9" t="s">
        <v>2158</v>
      </c>
      <c r="B36" s="2455" t="s">
        <v>2159</v>
      </c>
      <c r="C36" s="154"/>
      <c r="D36" s="2456"/>
      <c r="E36" s="2457"/>
      <c r="F36" s="2458"/>
      <c r="G36" s="138"/>
      <c r="H36" s="138"/>
      <c r="I36" s="138"/>
    </row>
    <row r="37" spans="1:15" ht="15.75" thickBot="1">
      <c r="A37" s="3170"/>
      <c r="B37" s="2261" t="s">
        <v>2160</v>
      </c>
      <c r="C37" s="156"/>
      <c r="D37" s="1390"/>
      <c r="E37" s="1390"/>
      <c r="F37" s="2458"/>
      <c r="G37" s="138"/>
      <c r="H37" s="138"/>
      <c r="I37" s="138"/>
    </row>
    <row r="38" spans="1:15" ht="15.75" thickBot="1">
      <c r="A38" s="3171"/>
      <c r="B38" s="2459" t="s">
        <v>2161</v>
      </c>
      <c r="C38" s="726"/>
      <c r="D38" s="2460" t="s">
        <v>2162</v>
      </c>
      <c r="E38" s="1390"/>
      <c r="F38" s="2458"/>
      <c r="G38" s="138"/>
      <c r="H38" s="138"/>
      <c r="I38" s="138"/>
    </row>
    <row r="39" spans="1:15" ht="15">
      <c r="A39" s="2431" t="s">
        <v>2163</v>
      </c>
      <c r="B39" s="2461" t="s">
        <v>2146</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6" t="s">
        <v>2172</v>
      </c>
      <c r="B45" s="3187"/>
      <c r="C45" s="3188"/>
      <c r="D45" s="164">
        <f ca="1">ROUND(H101*F45,0)</f>
        <v>313</v>
      </c>
      <c r="E45" s="165" t="s">
        <v>2173</v>
      </c>
      <c r="F45" s="166">
        <v>1</v>
      </c>
      <c r="G45" s="167" t="s">
        <v>2174</v>
      </c>
      <c r="H45" s="138"/>
      <c r="I45" s="138"/>
      <c r="J45" s="3105" t="s">
        <v>2175</v>
      </c>
      <c r="K45" s="3105"/>
      <c r="L45" s="3105"/>
      <c r="M45" s="3105"/>
      <c r="N45" s="3105"/>
      <c r="O45" s="3105"/>
    </row>
    <row r="46" spans="1:15" ht="14.25" customHeight="1">
      <c r="A46" s="3183" t="s">
        <v>2176</v>
      </c>
      <c r="B46" s="3184"/>
      <c r="C46" s="3184"/>
      <c r="D46" s="3184"/>
      <c r="E46" s="3184"/>
      <c r="F46" s="3184"/>
      <c r="G46" s="3185"/>
      <c r="H46" s="2474"/>
      <c r="I46" s="168"/>
      <c r="J46" s="2986">
        <v>1</v>
      </c>
      <c r="K46" s="3105" t="s">
        <v>2177</v>
      </c>
      <c r="L46" s="3105"/>
      <c r="M46" s="3106"/>
      <c r="N46" s="3106"/>
      <c r="O46" s="3106"/>
    </row>
    <row r="47" spans="1:15" ht="12" customHeight="1">
      <c r="A47" s="169" t="s">
        <v>2178</v>
      </c>
      <c r="B47" s="170"/>
      <c r="C47" s="171"/>
      <c r="D47" s="172" t="s">
        <v>2179</v>
      </c>
      <c r="E47" s="24" t="s">
        <v>2180</v>
      </c>
      <c r="F47" s="173" t="s">
        <v>2181</v>
      </c>
      <c r="G47" s="174" t="s">
        <v>2182</v>
      </c>
      <c r="H47" s="2474"/>
      <c r="I47" s="168"/>
      <c r="J47" s="2986">
        <v>2</v>
      </c>
      <c r="K47" s="3105" t="s">
        <v>2183</v>
      </c>
      <c r="L47" s="3105"/>
      <c r="M47" s="3107">
        <f>'数据-取费表'!B2</f>
        <v>43718</v>
      </c>
      <c r="N47" s="3107"/>
      <c r="O47" s="3107"/>
    </row>
    <row r="48" spans="1:15" ht="25.5">
      <c r="A48" s="3173" t="s">
        <v>2184</v>
      </c>
      <c r="B48" s="3174"/>
      <c r="C48" s="3174"/>
      <c r="D48" s="140">
        <f>IF(H48="情况1",0,IF(H48="情况2",D52,IF(H48="情况3",D53,IF(H48="情况4",D54))))</f>
        <v>0</v>
      </c>
      <c r="E48" s="2995" t="str">
        <f>IF(H48="情况4","(销售额-原购置价)×税（费）率","销售额×税（费）率")</f>
        <v>销售额×税（费）率</v>
      </c>
      <c r="F48" s="175" t="str">
        <f>IF(H48="情况1","免征",'数据-取费表'!B41)</f>
        <v>免征</v>
      </c>
      <c r="G48" s="2475" t="s">
        <v>2185</v>
      </c>
      <c r="H48" s="2476" t="s">
        <v>2186</v>
      </c>
      <c r="I48" s="2474"/>
      <c r="J48" s="2986">
        <v>3</v>
      </c>
      <c r="K48" s="3105" t="s">
        <v>2187</v>
      </c>
      <c r="L48" s="3105"/>
      <c r="M48" s="3108">
        <f ca="1">H101</f>
        <v>313</v>
      </c>
      <c r="N48" s="3108"/>
      <c r="O48" s="3108"/>
    </row>
    <row r="49" spans="1:35" ht="25.5" customHeight="1">
      <c r="A49" s="176" t="s">
        <v>2188</v>
      </c>
      <c r="B49" s="3153" t="s">
        <v>2189</v>
      </c>
      <c r="C49" s="3153"/>
      <c r="D49" s="177">
        <v>0</v>
      </c>
      <c r="E49" s="23" t="s">
        <v>2190</v>
      </c>
      <c r="F49" s="28" t="s">
        <v>34</v>
      </c>
      <c r="G49" s="3134"/>
      <c r="H49" s="138"/>
      <c r="I49" s="2477"/>
      <c r="J49" s="2986">
        <v>4</v>
      </c>
      <c r="K49" s="3105" t="str">
        <f>IF(项目基本情况!E8="房地产抵押价值","房地产抵押价值","抵押担保权已注销时的房地产抵押价值")</f>
        <v>房地产抵押价值</v>
      </c>
      <c r="L49" s="3105"/>
      <c r="M49" s="3108">
        <f ca="1">IF(项目基本情况!E8="房地产抵押价值",H107,H109)</f>
        <v>313</v>
      </c>
      <c r="N49" s="3108"/>
      <c r="O49" s="3108"/>
    </row>
    <row r="50" spans="1:35" ht="25.5" customHeight="1">
      <c r="A50" s="178"/>
      <c r="B50" s="3153" t="s">
        <v>2191</v>
      </c>
      <c r="C50" s="3153"/>
      <c r="D50" s="179"/>
      <c r="E50" s="31"/>
      <c r="F50" s="180"/>
      <c r="G50" s="3135"/>
      <c r="H50" s="138"/>
      <c r="I50" s="2477"/>
      <c r="J50" s="3105" t="s">
        <v>2192</v>
      </c>
      <c r="K50" s="3105"/>
      <c r="L50" s="3105"/>
      <c r="M50" s="3105"/>
      <c r="N50" s="3105"/>
      <c r="O50" s="3105"/>
    </row>
    <row r="51" spans="1:35" ht="12" customHeight="1">
      <c r="A51" s="181"/>
      <c r="B51" s="3153" t="s">
        <v>2193</v>
      </c>
      <c r="C51" s="3153"/>
      <c r="D51" s="182"/>
      <c r="E51" s="30"/>
      <c r="F51" s="180"/>
      <c r="G51" s="3136"/>
      <c r="H51" s="138"/>
      <c r="I51" s="2477"/>
      <c r="J51" s="2983" t="s">
        <v>2194</v>
      </c>
      <c r="K51" s="3105" t="s">
        <v>2195</v>
      </c>
      <c r="L51" s="3105"/>
      <c r="M51" s="2983" t="s">
        <v>2196</v>
      </c>
      <c r="N51" s="2983" t="s">
        <v>2197</v>
      </c>
      <c r="O51" s="2983" t="s">
        <v>2198</v>
      </c>
    </row>
    <row r="52" spans="1:35" ht="24" customHeight="1">
      <c r="A52" s="183" t="s">
        <v>2199</v>
      </c>
      <c r="B52" s="3153" t="s">
        <v>2200</v>
      </c>
      <c r="C52" s="3153"/>
      <c r="D52" s="182">
        <f ca="1">ROUND(D45*'数据-取费表'!B41/(1+'数据-取费表'!C42),0)</f>
        <v>17</v>
      </c>
      <c r="E52" s="11" t="s">
        <v>2201</v>
      </c>
      <c r="F52" s="184">
        <f>'数据-取费表'!B41</f>
        <v>5.6000000000000001E-2</v>
      </c>
      <c r="G52" s="2479"/>
      <c r="H52" s="138"/>
      <c r="I52" s="2477"/>
      <c r="J52" s="2986">
        <v>1</v>
      </c>
      <c r="K52" s="3128" t="s">
        <v>2202</v>
      </c>
      <c r="L52" s="3128"/>
      <c r="M52" s="1749">
        <f>D48</f>
        <v>0</v>
      </c>
      <c r="N52" s="2986" t="str">
        <f>E48</f>
        <v>销售额×税（费）率</v>
      </c>
      <c r="O52" s="1750" t="str">
        <f>F48</f>
        <v>免征</v>
      </c>
    </row>
    <row r="53" spans="1:35" ht="12" customHeight="1">
      <c r="A53" s="183" t="s">
        <v>2203</v>
      </c>
      <c r="B53" s="3154" t="s">
        <v>2204</v>
      </c>
      <c r="C53" s="3155"/>
      <c r="D53" s="182">
        <f ca="1">ROUND(D45*'数据-取费表'!B41/(1+'数据-取费表'!C42),0)</f>
        <v>17</v>
      </c>
      <c r="E53" s="11" t="s">
        <v>2201</v>
      </c>
      <c r="F53" s="184">
        <f>'数据-取费表'!B41</f>
        <v>5.6000000000000001E-2</v>
      </c>
      <c r="G53" s="2479"/>
      <c r="H53" s="138"/>
      <c r="I53" s="2477"/>
      <c r="J53" s="2986">
        <v>2</v>
      </c>
      <c r="K53" s="3128" t="s">
        <v>2205</v>
      </c>
      <c r="L53" s="3128"/>
      <c r="M53" s="1749">
        <f t="shared" ref="M53:O54" ca="1" si="0">D55</f>
        <v>0</v>
      </c>
      <c r="N53" s="2986" t="str">
        <f t="shared" si="0"/>
        <v>销售额×税（费）率</v>
      </c>
      <c r="O53" s="1750">
        <f t="shared" si="0"/>
        <v>5.0000000000000001E-4</v>
      </c>
    </row>
    <row r="54" spans="1:35" ht="12" customHeight="1">
      <c r="A54" s="183" t="s">
        <v>2206</v>
      </c>
      <c r="B54" s="3154" t="s">
        <v>2207</v>
      </c>
      <c r="C54" s="3155"/>
      <c r="D54" s="182">
        <f ca="1">C68</f>
        <v>17</v>
      </c>
      <c r="E54" s="30" t="s">
        <v>2208</v>
      </c>
      <c r="F54" s="184">
        <f>'数据-取费表'!B41</f>
        <v>5.6000000000000001E-2</v>
      </c>
      <c r="G54" s="2479"/>
      <c r="H54" s="2480"/>
      <c r="I54" s="2477"/>
      <c r="J54" s="2986">
        <v>3</v>
      </c>
      <c r="K54" s="3128" t="s">
        <v>2209</v>
      </c>
      <c r="L54" s="3128"/>
      <c r="M54" s="1749">
        <f t="shared" ca="1" si="0"/>
        <v>177</v>
      </c>
      <c r="N54" s="2986" t="str">
        <f t="shared" si="0"/>
        <v>增值额×税（费）率</v>
      </c>
      <c r="O54" s="1751" t="str">
        <f t="shared" si="0"/>
        <v>——</v>
      </c>
    </row>
    <row r="55" spans="1:35" ht="24" customHeight="1">
      <c r="A55" s="3192" t="s">
        <v>2210</v>
      </c>
      <c r="B55" s="3174"/>
      <c r="C55" s="3174"/>
      <c r="D55" s="185">
        <f ca="1">IF(H55="个人住宅",0,ROUND(D45*I55,0))</f>
        <v>0</v>
      </c>
      <c r="E55" s="11" t="s">
        <v>2211</v>
      </c>
      <c r="F55" s="184">
        <f>IF(H55="正常",I55,"免征")</f>
        <v>5.0000000000000001E-4</v>
      </c>
      <c r="G55" s="2479"/>
      <c r="H55" s="2476" t="s">
        <v>2212</v>
      </c>
      <c r="I55" s="186">
        <f>'数据-取费表'!B49</f>
        <v>5.0000000000000001E-4</v>
      </c>
      <c r="J55" s="2986" t="str">
        <f>IF(H59="非个人房产","",4)</f>
        <v/>
      </c>
      <c r="K55" s="3128" t="str">
        <f>IF(H59="非个人房产","——","个人所得税")</f>
        <v>——</v>
      </c>
      <c r="L55" s="3128"/>
      <c r="M55" s="1752" t="str">
        <f>D59</f>
        <v>——</v>
      </c>
      <c r="N55" s="2987" t="str">
        <f>E59</f>
        <v>——</v>
      </c>
      <c r="O55" s="1753" t="str">
        <f>F59</f>
        <v>——</v>
      </c>
    </row>
    <row r="56" spans="1:35" ht="24.75">
      <c r="A56" s="3192" t="s">
        <v>2213</v>
      </c>
      <c r="B56" s="3174"/>
      <c r="C56" s="3174"/>
      <c r="D56" s="185">
        <f ca="1">IF(H56="个人住宅",D57,D58)</f>
        <v>177</v>
      </c>
      <c r="E56" s="11" t="s">
        <v>2214</v>
      </c>
      <c r="F56" s="184" t="str">
        <f>IF(H56="正常",F58,"免征")</f>
        <v>——</v>
      </c>
      <c r="G56" s="2481" t="s">
        <v>2215</v>
      </c>
      <c r="H56" s="2482" t="s">
        <v>2212</v>
      </c>
      <c r="I56" s="2483"/>
      <c r="J56" s="2986" t="str">
        <f>IF(项目基本情况!K6="上海银行",IF(J55="",4,J55+1),"")</f>
        <v/>
      </c>
      <c r="K56" s="3111" t="str">
        <f>IF(项目基本情况!K6="上海银行","其他处置费用","")</f>
        <v/>
      </c>
      <c r="L56" s="3112"/>
      <c r="M56" s="1749" t="str">
        <f>IF(项目基本情况!K6="上海银行",M69,"")</f>
        <v/>
      </c>
      <c r="N56" s="3114" t="str">
        <f>IF(项目基本情况!K6="上海银行","包含处置中涉及的律师、诉讼、拍卖、评估等费用","")</f>
        <v/>
      </c>
      <c r="O56" s="3115"/>
    </row>
    <row r="57" spans="1:35" ht="12.75">
      <c r="A57" s="183" t="s">
        <v>2188</v>
      </c>
      <c r="B57" s="3159" t="s">
        <v>2216</v>
      </c>
      <c r="C57" s="3160"/>
      <c r="D57" s="187">
        <v>0</v>
      </c>
      <c r="E57" s="23" t="s">
        <v>2190</v>
      </c>
      <c r="F57" s="155"/>
      <c r="G57" s="2479"/>
      <c r="H57" s="2483"/>
      <c r="I57" s="2483"/>
      <c r="J57" s="3128">
        <f>IF(AND(J55="",J56=""),4,IF(项目基本情况!K6="上海银行",'结果表 (2)'!J56+1,'结果表 (2)'!J55+1))</f>
        <v>4</v>
      </c>
      <c r="K57" s="3128" t="s">
        <v>2217</v>
      </c>
      <c r="L57" s="2484" t="s">
        <v>2218</v>
      </c>
      <c r="M57" s="1754"/>
      <c r="N57" s="1755">
        <f ca="1">SUMIF(M52:M56,"&lt;9e307")</f>
        <v>177</v>
      </c>
      <c r="O57" s="2485"/>
      <c r="P57" s="1748">
        <f ca="1">N57/M49</f>
        <v>0.56549520766773165</v>
      </c>
    </row>
    <row r="58" spans="1:35" ht="24.75">
      <c r="A58" s="183" t="s">
        <v>2199</v>
      </c>
      <c r="B58" s="3159" t="s">
        <v>2219</v>
      </c>
      <c r="C58" s="3172"/>
      <c r="D58" s="185">
        <f ca="1">IF(H58="转让取得",C81,C97)</f>
        <v>177</v>
      </c>
      <c r="E58" s="11" t="s">
        <v>2214</v>
      </c>
      <c r="F58" s="24" t="s">
        <v>34</v>
      </c>
      <c r="G58" s="2479"/>
      <c r="H58" s="2482" t="s">
        <v>2220</v>
      </c>
      <c r="I58" s="2483"/>
      <c r="J58" s="3128"/>
      <c r="K58" s="3128"/>
      <c r="L58" s="2484" t="s">
        <v>2221</v>
      </c>
      <c r="M58" s="1756"/>
      <c r="N58" s="2486" t="str">
        <f ca="1">NUMBERSTRING(INT(N57*10000),2)&amp;"元整"</f>
        <v>壹佰柒拾柒万元整</v>
      </c>
      <c r="O58" s="2487"/>
    </row>
    <row r="59" spans="1:35" ht="24.75" thickBot="1">
      <c r="A59" s="3132" t="s">
        <v>2222</v>
      </c>
      <c r="B59" s="3133"/>
      <c r="C59" s="3133"/>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30">
        <f>J57+1</f>
        <v>5</v>
      </c>
      <c r="K59" s="3128" t="s">
        <v>2224</v>
      </c>
      <c r="L59" s="2986" t="s">
        <v>2218</v>
      </c>
      <c r="M59" s="1757"/>
      <c r="N59" s="1758">
        <f ca="1">M49-N57</f>
        <v>136</v>
      </c>
      <c r="O59" s="2489"/>
    </row>
    <row r="60" spans="1:35" ht="12" customHeight="1">
      <c r="A60" s="2490"/>
      <c r="B60" s="2412"/>
      <c r="C60" s="2412"/>
      <c r="D60" s="2412"/>
      <c r="E60" s="2160"/>
      <c r="F60" s="2483"/>
      <c r="G60" s="2483"/>
      <c r="H60" s="2491"/>
      <c r="I60" s="138"/>
      <c r="J60" s="3131"/>
      <c r="K60" s="3128"/>
      <c r="L60" s="2484" t="s">
        <v>2221</v>
      </c>
      <c r="M60" s="1756"/>
      <c r="N60" s="2486" t="str">
        <f ca="1">NUMBERSTRING(INT(N59*10000),2)&amp;"元整"</f>
        <v>壹佰叁拾陆万元整</v>
      </c>
      <c r="O60" s="2487"/>
    </row>
    <row r="61" spans="1:35" ht="13.5" thickBot="1">
      <c r="A61" s="3191" t="s">
        <v>2225</v>
      </c>
      <c r="B61" s="3191"/>
      <c r="C61" s="3191"/>
      <c r="D61" s="3191"/>
      <c r="E61" s="3191"/>
      <c r="F61" s="2483"/>
      <c r="G61" s="2483"/>
      <c r="H61" s="2491"/>
      <c r="I61" s="138"/>
      <c r="J61" s="2986">
        <f>J59+1</f>
        <v>6</v>
      </c>
      <c r="K61" s="3128" t="s">
        <v>2226</v>
      </c>
      <c r="L61" s="3128"/>
      <c r="M61" s="1759"/>
      <c r="N61" s="1760">
        <f ca="1">ROUND(N59*10000/'数据-汇总表'!E3,0)</f>
        <v>3125</v>
      </c>
      <c r="O61" s="2492"/>
    </row>
    <row r="62" spans="1:35" ht="12.75">
      <c r="A62" s="3148" t="s">
        <v>2227</v>
      </c>
      <c r="B62" s="3149"/>
      <c r="C62" s="2991"/>
      <c r="D62" s="2991" t="s">
        <v>2228</v>
      </c>
      <c r="E62" s="192" t="s">
        <v>2229</v>
      </c>
      <c r="F62" s="2483"/>
      <c r="G62" s="2483"/>
      <c r="H62" s="2491"/>
      <c r="I62" s="138"/>
    </row>
    <row r="63" spans="1:35" ht="12.75">
      <c r="A63" s="203" t="s">
        <v>775</v>
      </c>
      <c r="B63" s="193" t="s">
        <v>2230</v>
      </c>
      <c r="C63" s="194">
        <f ca="1">ROUND((C64+C65)/(1+'数据-取费表'!C42),0)</f>
        <v>298</v>
      </c>
      <c r="D63" s="195"/>
      <c r="E63" s="196"/>
      <c r="F63" s="2483"/>
      <c r="G63" s="2483"/>
      <c r="H63" s="2491"/>
      <c r="I63" s="138"/>
      <c r="J63" s="3113" t="s">
        <v>2231</v>
      </c>
      <c r="K63" s="2984" t="s">
        <v>2232</v>
      </c>
      <c r="L63" s="1747">
        <f ca="1">IF(M49&gt;10000,M49*0.5%,IF(AND(M49&gt;1000,M49&lt;=10000),M49*1%,IF(AND(M49&gt;100,M49&lt;=1000),M49*3%,IF(AND(M49&gt;10,M49&lt;=100),M49*5%,M49*8%))))</f>
        <v>9.3899999999999988</v>
      </c>
      <c r="M63" s="24">
        <f ca="1">ROUND(L63,1)</f>
        <v>9.4</v>
      </c>
      <c r="Z63" s="2417"/>
      <c r="AI63" s="2418"/>
    </row>
    <row r="64" spans="1:35" ht="14.25" customHeight="1">
      <c r="A64" s="197" t="s">
        <v>770</v>
      </c>
      <c r="B64" s="198" t="s">
        <v>2233</v>
      </c>
      <c r="C64" s="199">
        <f ca="1">D45</f>
        <v>313</v>
      </c>
      <c r="D64" s="200" t="s">
        <v>32</v>
      </c>
      <c r="E64" s="201"/>
      <c r="F64" s="2483"/>
      <c r="G64" s="2483"/>
      <c r="H64" s="2491"/>
      <c r="I64" s="138"/>
      <c r="J64" s="3113"/>
      <c r="K64" s="2984" t="s">
        <v>2234</v>
      </c>
      <c r="L64" s="1747">
        <f ca="1">IF(M49&gt;2000,M49*0.5%,IF(AND(M49&gt;1000,M49&lt;=2000),M49*0.6%,IF(AND(M49&gt;500,M49&lt;=1000),M49*0.7%,IF(AND(M49&gt;200,M49&lt;=500),M49*0.8%,IF(AND(M49&gt;100,M49&lt;=200),M49*0.9%,IF(AND(M49&gt;50,M49&lt;=100),M49*1%,IF(AND(M49&gt;20,M49&lt;=50),M49*1.5%,IF(AND(M49&gt;10,M49&lt;=20),M49*2%,IF(AND(M49&gt;1,M49&lt;=10),M49*2.5%)))))))))</f>
        <v>2.504</v>
      </c>
      <c r="M64" s="24">
        <f t="shared" ref="M64:M65" ca="1" si="1">ROUND(L64,1)</f>
        <v>2.5</v>
      </c>
      <c r="N64" s="138" t="s">
        <v>2235</v>
      </c>
      <c r="Z64" s="2417"/>
      <c r="AI64" s="2418"/>
    </row>
    <row r="65" spans="1:35" ht="14.25" customHeight="1">
      <c r="A65" s="197" t="s">
        <v>771</v>
      </c>
      <c r="B65" s="198" t="s">
        <v>2236</v>
      </c>
      <c r="C65" s="202"/>
      <c r="D65" s="200"/>
      <c r="E65" s="201"/>
      <c r="F65" s="2483"/>
      <c r="G65" s="2483"/>
      <c r="H65" s="2491"/>
      <c r="I65" s="138"/>
      <c r="J65" s="3113"/>
      <c r="K65" s="2984" t="s">
        <v>2237</v>
      </c>
      <c r="L65" s="1747">
        <f ca="1">IF(M49&gt;1000,M49*0.1%,IF(AND(M49&gt;500,M49&lt;=1000),M49*0.5%,IF(AND(M49&gt;50,M49&lt;=500),M49*1%,IF(AND(M49&gt;1,M49&lt;=50),M49*1.5%))))</f>
        <v>3.13</v>
      </c>
      <c r="M65" s="24">
        <f t="shared" ca="1" si="1"/>
        <v>3.1</v>
      </c>
      <c r="N65" s="138" t="s">
        <v>2235</v>
      </c>
      <c r="Z65" s="2417"/>
      <c r="AI65" s="2418"/>
    </row>
    <row r="66" spans="1:35" ht="14.25" customHeight="1">
      <c r="A66" s="203" t="s">
        <v>772</v>
      </c>
      <c r="B66" s="204" t="s">
        <v>2238</v>
      </c>
      <c r="C66" s="205"/>
      <c r="D66" s="206" t="s">
        <v>32</v>
      </c>
      <c r="E66" s="1771" t="s">
        <v>1367</v>
      </c>
      <c r="F66" s="2483"/>
      <c r="G66" s="2483"/>
      <c r="H66" s="2491"/>
      <c r="I66" s="138"/>
      <c r="J66" s="3113"/>
      <c r="K66" s="2984" t="s">
        <v>2239</v>
      </c>
      <c r="L66" s="1747">
        <f ca="1">M49*0.5%</f>
        <v>1.5649999999999999</v>
      </c>
      <c r="M66" s="24">
        <f ca="1">IF(L66&gt;0.5,0.5,ROUND(L66,0))</f>
        <v>0.5</v>
      </c>
      <c r="N66" s="138" t="s">
        <v>2240</v>
      </c>
      <c r="Z66" s="2417"/>
      <c r="AI66" s="2418"/>
    </row>
    <row r="67" spans="1:35" ht="14.25" customHeight="1">
      <c r="A67" s="203" t="s">
        <v>773</v>
      </c>
      <c r="B67" s="204" t="s">
        <v>2241</v>
      </c>
      <c r="C67" s="207">
        <f ca="1">C63-C66</f>
        <v>298</v>
      </c>
      <c r="D67" s="200" t="s">
        <v>32</v>
      </c>
      <c r="E67" s="201"/>
      <c r="F67" s="2483"/>
      <c r="G67" s="2483"/>
      <c r="H67" s="2491"/>
      <c r="I67" s="138"/>
      <c r="J67" s="3113"/>
      <c r="K67" s="2984" t="s">
        <v>2242</v>
      </c>
      <c r="L67" s="1747">
        <f ca="1">IF(M49&gt;=10000,(8.25+(M49-10000)*0.01%),IF(AND(M49&gt;=8000,M49&lt;10000),(7.85+(M49-8000)*0.02%),IF(AND(M49&gt;=5000,M49&lt;8000),(6.65+(M49-5000)*0.04%),IF(AND(M49&gt;=2000,M49&lt;5000),(4.25+(PM49-2000)*0.08%),IF(AND(M49&gt;=1000,M49&lt;2000),(2.75+(M49-1000)*0.15%),IF(AND(M49&gt;=100,M49&lt;1000),(0.5+(M49-100)*0.25%),IF(AND(M49&gt;0,M49&lt;100),M49*0.5%)))))))</f>
        <v>1.0325</v>
      </c>
      <c r="M67" s="24">
        <f ca="1">ROUND(L67*0.9,1)</f>
        <v>0.9</v>
      </c>
      <c r="Z67" s="2417"/>
      <c r="AI67" s="2418"/>
    </row>
    <row r="68" spans="1:35" ht="14.25" customHeight="1" thickBot="1">
      <c r="A68" s="208" t="s">
        <v>774</v>
      </c>
      <c r="B68" s="209" t="s">
        <v>2243</v>
      </c>
      <c r="C68" s="210">
        <f ca="1">IF(C67&lt;=0,0,ROUND(C67*D68,0))</f>
        <v>17</v>
      </c>
      <c r="D68" s="211">
        <f>'数据-取费表'!B41</f>
        <v>5.6000000000000001E-2</v>
      </c>
      <c r="E68" s="212"/>
      <c r="F68" s="2483"/>
      <c r="G68" s="2483"/>
      <c r="H68" s="2491"/>
      <c r="I68" s="138"/>
      <c r="J68" s="3113"/>
      <c r="K68" s="2984" t="s">
        <v>2244</v>
      </c>
      <c r="L68" s="1747">
        <f ca="1">IF(M49&gt;10000,M49*0.5%,IF(AND(M49&gt;5000,M49&lt;=10000),M49*1%,IF(AND(M49&gt;1000,M49&lt;=5000),M49*2%,IF(AND(M49&gt;200,M49&lt;=1000),M49*3%,M49*5%))))</f>
        <v>9.3899999999999988</v>
      </c>
      <c r="M68" s="24">
        <f ca="1">ROUND(L68,1)</f>
        <v>9.4</v>
      </c>
      <c r="Z68" s="2417"/>
      <c r="AI68" s="2418"/>
    </row>
    <row r="69" spans="1:35" s="2440" customFormat="1" ht="16.5" customHeight="1">
      <c r="A69" s="2494"/>
      <c r="B69" s="2495"/>
      <c r="C69" s="2496"/>
      <c r="D69" s="2497"/>
      <c r="E69" s="2498"/>
      <c r="F69" s="2160"/>
      <c r="G69" s="2160"/>
      <c r="H69" s="2159"/>
      <c r="I69" s="2412"/>
      <c r="J69" s="3113"/>
      <c r="K69" s="2984" t="s">
        <v>2245</v>
      </c>
      <c r="L69" s="2499"/>
      <c r="M69" s="24">
        <f ca="1">ROUND(SUM(M63:M68),0)</f>
        <v>26</v>
      </c>
      <c r="N69" s="1748">
        <f ca="1">M69/M49</f>
        <v>8.3067092651757185E-2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7" t="s">
        <v>2246</v>
      </c>
      <c r="B70" s="3158"/>
      <c r="C70" s="3158"/>
      <c r="D70" s="3158"/>
      <c r="E70" s="3158"/>
      <c r="F70" s="3158"/>
      <c r="G70" s="3158"/>
      <c r="H70" s="315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2227</v>
      </c>
      <c r="B71" s="3149"/>
      <c r="C71" s="2991"/>
      <c r="D71" s="2991"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298</v>
      </c>
      <c r="D72" s="200" t="s">
        <v>32</v>
      </c>
      <c r="E72" s="2993"/>
      <c r="F72" s="2992"/>
      <c r="G72" s="29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2</v>
      </c>
      <c r="D73" s="200" t="s">
        <v>32</v>
      </c>
      <c r="E73" s="2993"/>
      <c r="F73" s="2992"/>
      <c r="G73" s="29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93"/>
      <c r="F74" s="2992"/>
      <c r="G74" s="29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4" t="s">
        <v>2255</v>
      </c>
      <c r="F76" s="3153"/>
      <c r="G76" s="3153"/>
      <c r="H76" s="315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85" t="s">
        <v>2257</v>
      </c>
      <c r="F77" s="224"/>
      <c r="G77" s="2507" t="s">
        <v>2258</v>
      </c>
      <c r="H77" s="299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2</v>
      </c>
      <c r="D78" s="226">
        <f>'数据-取费表'!B43</f>
        <v>6.000000000000001E-3</v>
      </c>
      <c r="E78" s="3145" t="s">
        <v>2260</v>
      </c>
      <c r="F78" s="3146"/>
      <c r="G78" s="3146"/>
      <c r="H78" s="314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296</v>
      </c>
      <c r="D79" s="200" t="s">
        <v>32</v>
      </c>
      <c r="E79" s="2993"/>
      <c r="F79" s="2992"/>
      <c r="G79" s="29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148</v>
      </c>
      <c r="D80" s="200" t="s">
        <v>32</v>
      </c>
      <c r="E80" s="2985" t="str">
        <f ca="1">IF(C80&gt;=200%,"增值额超过扣除项目金额200%",IF(C80&gt;=100%,"增值额超过扣除项目金额100%，未超过200%",IF(C80&gt;=50%,"增值额超过扣除项目金额50%，未超过100%",IF(C80&lt;50%,"增值额未超过扣除项目金额50%"))))</f>
        <v>增值额超过扣除项目金额200%</v>
      </c>
      <c r="F80" s="2992"/>
      <c r="G80" s="29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177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7" t="s">
        <v>2264</v>
      </c>
      <c r="B83" s="3158"/>
      <c r="C83" s="3158"/>
      <c r="D83" s="3158"/>
      <c r="E83" s="3158"/>
      <c r="F83" s="3158"/>
      <c r="G83" s="3158"/>
      <c r="H83" s="315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2227</v>
      </c>
      <c r="B84" s="3149"/>
      <c r="C84" s="2991"/>
      <c r="D84" s="2991"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298</v>
      </c>
      <c r="D85" s="200" t="s">
        <v>32</v>
      </c>
      <c r="E85" s="2993"/>
      <c r="F85" s="2992"/>
      <c r="G85" s="29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2</v>
      </c>
      <c r="D86" s="235"/>
      <c r="E86" s="2993"/>
      <c r="F86" s="2992"/>
      <c r="G86" s="29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2988"/>
      <c r="F87" s="2989"/>
      <c r="G87" s="2989"/>
      <c r="H87" s="299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298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2989"/>
      <c r="G89" s="2989"/>
      <c r="H89" s="299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2989"/>
      <c r="G90" s="2989"/>
      <c r="H90" s="299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5" t="s">
        <v>2273</v>
      </c>
      <c r="F91" s="3146"/>
      <c r="G91" s="3146"/>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5" t="s">
        <v>2277</v>
      </c>
      <c r="F92" s="3146"/>
      <c r="G92" s="3146"/>
      <c r="H92" s="314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2</v>
      </c>
      <c r="D93" s="226">
        <f>'数据-取费表'!B43</f>
        <v>6.000000000000001E-3</v>
      </c>
      <c r="E93" s="3145" t="s">
        <v>2260</v>
      </c>
      <c r="F93" s="3146"/>
      <c r="G93" s="3146"/>
      <c r="H93" s="314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93" t="s">
        <v>2281</v>
      </c>
      <c r="F94" s="3194"/>
      <c r="G94" s="3194"/>
      <c r="H94" s="319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296</v>
      </c>
      <c r="D95" s="200" t="s">
        <v>32</v>
      </c>
      <c r="E95" s="2993"/>
      <c r="F95" s="2992"/>
      <c r="G95" s="29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148</v>
      </c>
      <c r="D96" s="200" t="s">
        <v>32</v>
      </c>
      <c r="E96" s="2985" t="str">
        <f ca="1">IF(C96&gt;=200%,"增值额超过扣除项目金额200%",IF(C96&gt;=100%,"增值额超过扣除项目金额100%，未超过200%",IF(C96&gt;=50%,"增值额超过扣除项目金额50%，未超过100%",IF(C96&lt;50%,"增值额未超过扣除项目金额50%"))))</f>
        <v>增值额超过扣除项目金额200%</v>
      </c>
      <c r="F96" s="2992"/>
      <c r="G96" s="29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177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7" t="s">
        <v>2283</v>
      </c>
      <c r="B100" s="3098"/>
      <c r="C100" s="3098"/>
      <c r="D100" s="3129"/>
      <c r="E100" s="3098" t="s">
        <v>2284</v>
      </c>
      <c r="F100" s="3098"/>
      <c r="G100" s="3098"/>
      <c r="H100" s="3129"/>
      <c r="I100" s="138"/>
    </row>
    <row r="101" spans="1:35" ht="18.75" customHeight="1">
      <c r="A101" s="3137" t="s">
        <v>2285</v>
      </c>
      <c r="B101" s="3138"/>
      <c r="C101" s="735" t="str">
        <f>C4</f>
        <v>收益法 (元)</v>
      </c>
      <c r="D101" s="736" t="str">
        <f>D4</f>
        <v>比较法-办公</v>
      </c>
      <c r="E101" s="3109" t="s">
        <v>2286</v>
      </c>
      <c r="F101" s="3110"/>
      <c r="G101" s="2514" t="s">
        <v>2287</v>
      </c>
      <c r="H101" s="1044">
        <f ca="1">H118</f>
        <v>313</v>
      </c>
      <c r="I101" s="138"/>
    </row>
    <row r="102" spans="1:35" ht="18.75" customHeight="1">
      <c r="A102" s="3139" t="s">
        <v>2288</v>
      </c>
      <c r="B102" s="2514" t="s">
        <v>2287</v>
      </c>
      <c r="C102" s="735">
        <f ca="1">C19</f>
        <v>273</v>
      </c>
      <c r="D102" s="736">
        <f ca="1">D19</f>
        <v>339</v>
      </c>
      <c r="E102" s="3109"/>
      <c r="F102" s="3110"/>
      <c r="G102" s="2514" t="s">
        <v>2289</v>
      </c>
      <c r="H102" s="371">
        <f ca="1">I118</f>
        <v>39857</v>
      </c>
      <c r="I102" s="138"/>
    </row>
    <row r="103" spans="1:35" ht="42.75" customHeight="1">
      <c r="A103" s="3139"/>
      <c r="B103" s="2514" t="s">
        <v>2289</v>
      </c>
      <c r="C103" s="737">
        <f ca="1">C20</f>
        <v>34785</v>
      </c>
      <c r="D103" s="738">
        <f ca="1">D20</f>
        <v>43177</v>
      </c>
      <c r="E103" s="3103" t="s">
        <v>2290</v>
      </c>
      <c r="F103" s="3104"/>
      <c r="G103" s="2515" t="s">
        <v>2291</v>
      </c>
      <c r="H103" s="1044">
        <f>IF(D36="正常操作",H104+H105+H106,H105+H106)</f>
        <v>0</v>
      </c>
      <c r="I103" s="138"/>
    </row>
    <row r="104" spans="1:35" ht="18.75" customHeight="1">
      <c r="A104" s="3139" t="s">
        <v>2292</v>
      </c>
      <c r="B104" s="2516" t="s">
        <v>2287</v>
      </c>
      <c r="C104" s="739">
        <f ca="1">H118</f>
        <v>313</v>
      </c>
      <c r="D104" s="740"/>
      <c r="E104" s="2261" t="s">
        <v>2293</v>
      </c>
      <c r="F104" s="2252"/>
      <c r="G104" s="2515" t="s">
        <v>2291</v>
      </c>
      <c r="H104" s="1045">
        <f>IF(D36="同一抵押权人同一抵押物续贷",C36&amp;"（未扣减，详见特别提示）",C36)</f>
        <v>0</v>
      </c>
      <c r="I104" s="138"/>
    </row>
    <row r="105" spans="1:35" ht="18.75" customHeight="1" thickBot="1">
      <c r="A105" s="3151"/>
      <c r="B105" s="2517" t="s">
        <v>2289</v>
      </c>
      <c r="C105" s="741">
        <f ca="1">I118</f>
        <v>39857</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40" t="str">
        <f>IF(项目基本情况!E8="已注销","——","3.房地产抵押价值")</f>
        <v>3.房地产抵押价值</v>
      </c>
      <c r="F107" s="3110"/>
      <c r="G107" s="2514" t="s">
        <v>2287</v>
      </c>
      <c r="H107" s="1044">
        <f ca="1">IF(E107="——","——",H101-H103)</f>
        <v>313</v>
      </c>
      <c r="I107" s="138"/>
    </row>
    <row r="108" spans="1:35" ht="18.75" customHeight="1">
      <c r="A108" s="138"/>
      <c r="B108" s="138"/>
      <c r="C108" s="138"/>
      <c r="D108" s="138"/>
      <c r="E108" s="3140"/>
      <c r="F108" s="3110"/>
      <c r="G108" s="2514" t="s">
        <v>2289</v>
      </c>
      <c r="H108" s="371">
        <f ca="1">ROUND(H107*10000/'数据-汇总表'!E3,0)</f>
        <v>7192</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4" t="s">
        <v>2287</v>
      </c>
      <c r="H109" s="348" t="str">
        <f>IF(E109="——","——",H101-H105-H106)</f>
        <v>——</v>
      </c>
      <c r="I109" s="138"/>
    </row>
    <row r="110" spans="1:35" ht="18.75" customHeight="1">
      <c r="A110" s="138"/>
      <c r="B110" s="138"/>
      <c r="C110" s="138"/>
      <c r="D110" s="138"/>
      <c r="E110" s="3140"/>
      <c r="F110" s="3110"/>
      <c r="G110" s="2514" t="s">
        <v>2289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2287</v>
      </c>
      <c r="H111" s="1044" t="str">
        <f>IF(E111="——","——",N59)</f>
        <v>——</v>
      </c>
      <c r="I111" s="138"/>
    </row>
    <row r="112" spans="1:35" ht="18.75" customHeight="1" thickBot="1">
      <c r="A112" s="138"/>
      <c r="B112" s="138"/>
      <c r="C112" s="138"/>
      <c r="D112" s="138"/>
      <c r="E112" s="3143"/>
      <c r="F112" s="3144"/>
      <c r="G112" s="2519" t="s">
        <v>2289</v>
      </c>
      <c r="H112" s="789" t="str">
        <f>IF(E111="——","——",N61)</f>
        <v>——</v>
      </c>
      <c r="I112" s="138"/>
    </row>
    <row r="113" spans="1:11" ht="18.75" customHeight="1">
      <c r="A113" s="138"/>
      <c r="B113" s="138"/>
      <c r="C113" s="138"/>
      <c r="D113" s="138"/>
      <c r="E113" s="3152" t="s">
        <v>2295</v>
      </c>
      <c r="F113" s="3152"/>
      <c r="G113" s="3152"/>
      <c r="H113" s="3152"/>
      <c r="I113" s="138"/>
    </row>
    <row r="114" spans="1:11" ht="3.75" customHeight="1">
      <c r="A114" s="2412"/>
      <c r="B114" s="2412"/>
      <c r="C114" s="2412"/>
      <c r="D114" s="2412"/>
      <c r="E114" s="2490"/>
      <c r="F114" s="2490"/>
      <c r="G114" s="2490"/>
      <c r="H114" s="2490"/>
      <c r="I114" s="2412"/>
    </row>
    <row r="115" spans="1:11" ht="18.75" customHeight="1">
      <c r="A115" s="3165" t="s">
        <v>2297</v>
      </c>
      <c r="B115" s="3166"/>
      <c r="C115" s="3166"/>
      <c r="D115" s="3166"/>
      <c r="E115" s="3166"/>
      <c r="F115" s="3166"/>
      <c r="G115" s="3166"/>
      <c r="H115" s="3166"/>
      <c r="I115" s="3167"/>
    </row>
    <row r="116" spans="1:11" ht="27" customHeight="1">
      <c r="A116" s="3076" t="s">
        <v>2298</v>
      </c>
      <c r="B116" s="3119" t="s">
        <v>2299</v>
      </c>
      <c r="C116" s="3119" t="s">
        <v>2300</v>
      </c>
      <c r="D116" s="3125" t="s">
        <v>2301</v>
      </c>
      <c r="E116" s="3126"/>
      <c r="F116" s="3161" t="s">
        <v>2302</v>
      </c>
      <c r="G116" s="3161"/>
      <c r="H116" s="3076" t="s">
        <v>2303</v>
      </c>
      <c r="I116" s="3076"/>
    </row>
    <row r="117" spans="1:11" ht="18.75" customHeight="1">
      <c r="A117" s="3076"/>
      <c r="B117" s="3120"/>
      <c r="C117" s="3120"/>
      <c r="D117" s="2982" t="s">
        <v>2304</v>
      </c>
      <c r="E117" s="2982" t="s">
        <v>2305</v>
      </c>
      <c r="F117" s="2982" t="s">
        <v>2304</v>
      </c>
      <c r="G117" s="2982" t="s">
        <v>2306</v>
      </c>
      <c r="H117" s="2982" t="s">
        <v>2304</v>
      </c>
      <c r="I117" s="2982" t="s">
        <v>2306</v>
      </c>
    </row>
    <row r="118" spans="1:11" ht="24.75" customHeight="1">
      <c r="A118" s="2520" t="str">
        <f>项目基本情况!S2</f>
        <v>北京市丰台区南四环西路128号院2号楼5层610等4套办公用房房地产</v>
      </c>
      <c r="B118" s="2982">
        <f>M18</f>
        <v>78.53</v>
      </c>
      <c r="C118" s="2982">
        <f>M19</f>
        <v>0</v>
      </c>
      <c r="D118" s="2982" t="e">
        <f ca="1">ROUND(IF(D32="总价",C34,E118*B118/10000),0)</f>
        <v>#REF!</v>
      </c>
      <c r="E118" s="2982" t="e">
        <f ca="1">ROUND(IF(C33="自定义",IF(D32="楼面单价",C34,D118*10000/B118),I118-G118),0)</f>
        <v>#REF!</v>
      </c>
      <c r="F118" s="2982" t="e">
        <f ca="1">ROUND(IF(D32="总价",C35,G118*B118/10000),0)</f>
        <v>#REF!</v>
      </c>
      <c r="G118" s="2982" t="e">
        <f ca="1">ROUND(IF(D32="楼面单价",C35,F118*10000/B118),0)</f>
        <v>#REF!</v>
      </c>
      <c r="H118" s="2982">
        <f ca="1">ROUND(IF(D32="总价",C32,I118*B118/10000),0)</f>
        <v>313</v>
      </c>
      <c r="I118" s="2982">
        <f ca="1">ROUND(IF(D32="楼面单价",C32,H118*10000/B118),0)</f>
        <v>39857</v>
      </c>
    </row>
    <row r="119" spans="1:11" ht="18.75" customHeight="1">
      <c r="A119" s="3076" t="s">
        <v>2307</v>
      </c>
      <c r="B119" s="3076"/>
      <c r="C119" s="3076"/>
      <c r="D119" s="3121" t="e">
        <f ca="1">NUMBERSTRING(INT(D118*10000),2)&amp;"元整"</f>
        <v>#REF!</v>
      </c>
      <c r="E119" s="3122"/>
      <c r="F119" s="3121" t="e">
        <f ca="1">NUMBERSTRING(INT(F118*10000),2)&amp;"元整"</f>
        <v>#REF!</v>
      </c>
      <c r="G119" s="3122"/>
      <c r="H119" s="3121" t="str">
        <f ca="1">NUMBERSTRING(INT(H118*10000),2)&amp;"元整"</f>
        <v>叁佰壹拾叁万元整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7" t="str">
        <f>IF(D120=0,"故，本次评估不存在"&amp;A120,"故，本次评估"&amp;A120&amp;"为人民币"&amp;D120&amp;"万元整。")</f>
        <v>故，本次评估不存在估价师知悉的法定优先受偿款</v>
      </c>
    </row>
    <row r="121" spans="1:11" ht="18.75" customHeight="1">
      <c r="A121" s="3162" t="s">
        <v>2307</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313</v>
      </c>
      <c r="E122" s="3117"/>
      <c r="F122" s="3117"/>
      <c r="G122" s="3117"/>
      <c r="H122" s="3117"/>
      <c r="I122" s="3118"/>
    </row>
    <row r="123" spans="1:11" ht="18.75" customHeight="1">
      <c r="A123" s="3076" t="s">
        <v>2307</v>
      </c>
      <c r="B123" s="3076"/>
      <c r="C123" s="3076"/>
      <c r="D123" s="3121" t="str">
        <f ca="1">NUMBERSTRING(INT(D122*10000),2)&amp;"元整"</f>
        <v>叁佰壹拾叁万元整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6" t="s">
        <v>2307</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6" t="s">
        <v>2307</v>
      </c>
      <c r="B127" s="3076"/>
      <c r="C127" s="3076"/>
      <c r="D127" s="3121" t="e">
        <f>NUMBERSTRING(INT(D126*10000),2)&amp;"元整"</f>
        <v>#VALUE!</v>
      </c>
      <c r="E127" s="3123"/>
      <c r="F127" s="3123"/>
      <c r="G127" s="3123"/>
      <c r="H127" s="3123"/>
      <c r="I127" s="3122"/>
    </row>
    <row r="128" spans="1:11" ht="21.75" customHeight="1">
      <c r="A128" s="3124" t="s">
        <v>2308</v>
      </c>
      <c r="B128" s="3124"/>
      <c r="C128" s="3124"/>
      <c r="D128" s="3124"/>
      <c r="E128" s="3124"/>
      <c r="F128" s="3124"/>
      <c r="G128" s="3124"/>
      <c r="H128" s="3124"/>
      <c r="I128" s="3124"/>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275</v>
      </c>
      <c r="C2" s="1843" t="s">
        <v>1511</v>
      </c>
      <c r="D2" s="1843"/>
      <c r="E2" s="1844"/>
      <c r="F2" s="1845"/>
      <c r="G2" s="1846"/>
      <c r="H2" s="1838"/>
      <c r="I2" s="1838"/>
      <c r="J2" s="1838"/>
      <c r="K2" s="1839"/>
      <c r="L2" s="1838"/>
      <c r="M2" s="1838"/>
    </row>
    <row r="3" spans="1:37" ht="18" customHeight="1" thickBot="1">
      <c r="A3" s="1847" t="s">
        <v>1512</v>
      </c>
      <c r="B3" s="1848">
        <f ca="1">IF(ISERROR(B2*10000/F43),0,ROUND(B2*10000/F43,0))</f>
        <v>35018</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14</v>
      </c>
      <c r="D5" s="1820" t="s">
        <v>1397</v>
      </c>
      <c r="E5" s="1291"/>
      <c r="F5" s="1292"/>
      <c r="G5" s="1849"/>
      <c r="H5" s="344">
        <v>1</v>
      </c>
      <c r="I5" s="345" t="s">
        <v>1396</v>
      </c>
      <c r="J5" s="1290">
        <f ca="1">J6+J10+J12</f>
        <v>0</v>
      </c>
      <c r="K5" s="1820" t="s">
        <v>1397</v>
      </c>
      <c r="L5" s="1291"/>
      <c r="M5" s="1292"/>
    </row>
    <row r="6" spans="1:37" ht="18" customHeight="1">
      <c r="A6" s="1289" t="s">
        <v>1032</v>
      </c>
      <c r="B6" s="3201" t="s">
        <v>1398</v>
      </c>
      <c r="C6" s="1294">
        <f ca="1">ROUND(F6*F8*F7*(1-F9)/10000,0)</f>
        <v>14</v>
      </c>
      <c r="D6" s="164" t="s">
        <v>3018</v>
      </c>
      <c r="E6" s="347" t="s">
        <v>1400</v>
      </c>
      <c r="F6" s="348">
        <f ca="1">INDIRECT("'数据-取费表'!u"&amp;$G$1)</f>
        <v>5.5</v>
      </c>
      <c r="G6" s="1849"/>
      <c r="H6" s="1289" t="s">
        <v>1032</v>
      </c>
      <c r="I6" s="3201" t="s">
        <v>1398</v>
      </c>
      <c r="J6" s="346">
        <f ca="1">ROUND(M6*M8*M7*(1-M9)/10000,0)</f>
        <v>0</v>
      </c>
      <c r="K6" s="164" t="s">
        <v>3017</v>
      </c>
      <c r="L6" s="347" t="s">
        <v>1400</v>
      </c>
      <c r="M6" s="348">
        <f ca="1">INDIRECT("'数据-取费表'!z"&amp;$G$1)</f>
        <v>0</v>
      </c>
    </row>
    <row r="7" spans="1:37" ht="18" customHeight="1">
      <c r="A7" s="1293"/>
      <c r="B7" s="3202"/>
      <c r="C7" s="1295"/>
      <c r="D7" s="352"/>
      <c r="E7" s="1296" t="s">
        <v>1401</v>
      </c>
      <c r="F7" s="348">
        <f ca="1">IF(INDIRECT("'数据-取费表'!ah"&amp;$G$1)="",INDIRECT("'数据-取费表'!k"&amp;$G$1),INDIRECT("'数据-取费表'!ah"&amp;$G$1))</f>
        <v>78.53</v>
      </c>
      <c r="G7" s="1849"/>
      <c r="H7" s="349"/>
      <c r="I7" s="3202"/>
      <c r="J7" s="351"/>
      <c r="K7" s="352"/>
      <c r="L7" s="347" t="s">
        <v>1401</v>
      </c>
      <c r="M7" s="348">
        <f ca="1">F7</f>
        <v>78.53</v>
      </c>
    </row>
    <row r="8" spans="1:37" ht="18" customHeight="1">
      <c r="A8" s="349"/>
      <c r="B8" s="3202"/>
      <c r="C8" s="351"/>
      <c r="D8" s="352"/>
      <c r="E8" s="347" t="s">
        <v>1402</v>
      </c>
      <c r="F8" s="348">
        <f ca="1">INDIRECT("'数据-取费表'!ai"&amp;$G$1)</f>
        <v>365</v>
      </c>
      <c r="G8" s="1849"/>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0.1</v>
      </c>
      <c r="G9" s="1849"/>
      <c r="H9" s="349"/>
      <c r="I9" s="3203"/>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3027</v>
      </c>
      <c r="E10" s="358" t="s">
        <v>1405</v>
      </c>
      <c r="F10" s="1364" t="s">
        <v>3086</v>
      </c>
      <c r="G10" s="1849"/>
      <c r="H10" s="1289" t="s">
        <v>1036</v>
      </c>
      <c r="I10" s="1821" t="s">
        <v>1404</v>
      </c>
      <c r="J10" s="346">
        <f ca="1">ROUND(IF(M10="押一",J6/12*M11,IF(M10="押二",J6/12*2*M11,IF(M10="押三",J6/12*3*M11,J11*M11))),0)</f>
        <v>0</v>
      </c>
      <c r="K10" s="1822" t="s">
        <v>3026</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42</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31</v>
      </c>
      <c r="D14" s="1798" t="s">
        <v>1413</v>
      </c>
      <c r="E14" s="1792"/>
      <c r="F14" s="364"/>
      <c r="G14" s="1849"/>
      <c r="H14" s="1200" t="s">
        <v>1032</v>
      </c>
      <c r="I14" s="347" t="s">
        <v>1414</v>
      </c>
      <c r="J14" s="24">
        <f ca="1">C29</f>
        <v>48</v>
      </c>
      <c r="K14" s="15"/>
      <c r="L14" s="978"/>
      <c r="M14" s="979"/>
    </row>
    <row r="15" spans="1:37" s="1856" customFormat="1" ht="18" customHeight="1" thickBot="1">
      <c r="A15" s="1200" t="s">
        <v>1033</v>
      </c>
      <c r="B15" s="347" t="s">
        <v>1415</v>
      </c>
      <c r="C15" s="24">
        <f ca="1">ROUND(C14*F15,0)</f>
        <v>1</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1</v>
      </c>
      <c r="K16" s="1335" t="s">
        <v>1420</v>
      </c>
      <c r="L16" s="1336"/>
      <c r="M16" s="1292"/>
    </row>
    <row r="17" spans="1:37" s="1856" customFormat="1" ht="18" customHeight="1">
      <c r="A17" s="1200" t="s">
        <v>1385</v>
      </c>
      <c r="B17" s="347" t="s">
        <v>1421</v>
      </c>
      <c r="C17" s="24">
        <f ca="1">ROUND(F17*(F43+INDIRECT("'数据-取费表'!S"&amp;$G$1))/10000,0)</f>
        <v>2</v>
      </c>
      <c r="D17" s="347" t="s">
        <v>1422</v>
      </c>
      <c r="E17" s="347" t="s">
        <v>1423</v>
      </c>
      <c r="F17" s="26">
        <f>'数据-取费表'!B35</f>
        <v>200</v>
      </c>
      <c r="G17" s="1852"/>
      <c r="H17" s="1200" t="s">
        <v>1032</v>
      </c>
      <c r="I17" s="347" t="s">
        <v>1424</v>
      </c>
      <c r="J17" s="24">
        <f ca="1">ROUND(IF(项目基本情况!B11="自然人",J6*M17/(1+'数据-取费表'!C42),J18+J19+J20),1)</f>
        <v>0.4</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34</v>
      </c>
      <c r="D19" s="140" t="s">
        <v>1431</v>
      </c>
      <c r="E19" s="1816"/>
      <c r="F19" s="26"/>
      <c r="G19" s="1849"/>
      <c r="H19" s="1200" t="s">
        <v>1033</v>
      </c>
      <c r="I19" s="347" t="s">
        <v>1432</v>
      </c>
      <c r="J19" s="24">
        <f ca="1">IF(K19="按租金收入计税",ROUND(J6*M19/(1+'数据-取费表'!C42),2),ROUND(C29*M19*0.7,2))</f>
        <v>0.4</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0.7</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-1</v>
      </c>
      <c r="K25" s="1343" t="s">
        <v>1459</v>
      </c>
      <c r="L25" s="1344"/>
      <c r="M25" s="1345"/>
    </row>
    <row r="26" spans="1:37">
      <c r="A26" s="1200" t="s">
        <v>1031</v>
      </c>
      <c r="B26" s="347" t="s">
        <v>1460</v>
      </c>
      <c r="C26" s="24">
        <f ca="1">ROUND((C19+C20)*F26,0)</f>
        <v>7</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48</v>
      </c>
      <c r="D29" s="1340"/>
      <c r="E29" s="1338"/>
      <c r="F29" s="1341"/>
      <c r="G29" s="1852"/>
      <c r="H29" s="380" t="s">
        <v>1030</v>
      </c>
      <c r="I29" s="381" t="s">
        <v>1474</v>
      </c>
      <c r="J29" s="382">
        <f ca="1">ROUND(J26/(1+F40)^F41,0)</f>
        <v>0</v>
      </c>
      <c r="K29" s="383" t="s">
        <v>1475</v>
      </c>
      <c r="L29" s="384"/>
      <c r="M29" s="385">
        <f ca="1">INDIRECT("'数据-取费表'!k"&amp;$G$1)</f>
        <v>78.53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2.4</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0.75</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1.6</v>
      </c>
      <c r="D33" s="1826" t="s">
        <v>3087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0.7</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ROUND(C13*F37,1)</f>
        <v>0.1</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0.1</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275</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ROUND(C40*10000/F43,0)</f>
        <v>35018</v>
      </c>
      <c r="D43" s="383" t="s">
        <v>1483</v>
      </c>
      <c r="E43" s="384" t="s">
        <v>1484</v>
      </c>
      <c r="F43" s="385">
        <f ca="1">INDIRECT("'数据-取费表'!k"&amp;$G$1)</f>
        <v>78.53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-356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275</v>
      </c>
      <c r="R47" s="1884" t="s">
        <v>1524</v>
      </c>
    </row>
    <row r="48" spans="1:18" s="1840" customFormat="1" ht="28.5" thickBot="1">
      <c r="A48" s="1358" t="s">
        <v>1132</v>
      </c>
      <c r="B48" s="345" t="s">
        <v>1396</v>
      </c>
      <c r="C48" s="1815">
        <f ca="1">C49+C53+C55</f>
        <v>0</v>
      </c>
      <c r="D48" s="1360"/>
      <c r="E48" s="1361"/>
      <c r="F48" s="1180"/>
      <c r="G48" s="791"/>
      <c r="H48" s="792"/>
      <c r="I48" s="1885" t="s">
        <v>1525</v>
      </c>
      <c r="J48" s="1886" t="s">
        <v>3089</v>
      </c>
      <c r="K48" s="1887" t="s">
        <v>1526</v>
      </c>
      <c r="L48" s="1888">
        <f ca="1">INDIRECT("'数据-取费表'!f"&amp;$G$1)</f>
        <v>41</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3019</v>
      </c>
      <c r="E49" s="1828" t="s">
        <v>1486</v>
      </c>
      <c r="F49" s="1279"/>
      <c r="G49" s="1889"/>
      <c r="H49" s="792"/>
      <c r="I49" s="1885" t="s">
        <v>1529</v>
      </c>
      <c r="J49" s="1890">
        <v>2012</v>
      </c>
      <c r="K49" s="1887" t="s">
        <v>1530</v>
      </c>
      <c r="L49" s="1891"/>
      <c r="O49" s="1892" t="s">
        <v>1039</v>
      </c>
      <c r="P49" s="1883" t="s">
        <v>1531</v>
      </c>
      <c r="Q49" s="1884">
        <f ca="1">C29</f>
        <v>48</v>
      </c>
      <c r="R49" s="1884" t="s">
        <v>1524</v>
      </c>
    </row>
    <row r="50" spans="1:18" s="1840" customFormat="1" ht="13.5" thickBot="1">
      <c r="A50" s="1194"/>
      <c r="B50" s="1197"/>
      <c r="C50" s="1366"/>
      <c r="D50" s="1171"/>
      <c r="E50" s="1275" t="s">
        <v>1401</v>
      </c>
      <c r="F50" s="1276">
        <f ca="1">F7</f>
        <v>78.53</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142</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41</v>
      </c>
      <c r="R52" s="1884" t="s">
        <v>1541</v>
      </c>
    </row>
    <row r="53" spans="1:18" s="1840" customFormat="1" ht="24.75" thickBot="1">
      <c r="A53" s="1403" t="s">
        <v>1134</v>
      </c>
      <c r="B53" s="1829" t="s">
        <v>1404</v>
      </c>
      <c r="C53" s="361">
        <f ca="1">ROUND(IF(F53="押一",C49/12*F11,IF(F53="押二",C49/12*2*F11,IF(F53="押三",C49/12*3*F11,C54*F11))),0)</f>
        <v>0</v>
      </c>
      <c r="D53" s="1822" t="s">
        <v>3026</v>
      </c>
      <c r="E53" s="358" t="s">
        <v>1405</v>
      </c>
      <c r="F53" s="1364"/>
      <c r="I53" s="1903" t="s">
        <v>1542</v>
      </c>
      <c r="J53" s="2955">
        <f ca="1">IF(M47="住宅",IF(D1="——",MAX(J51,L48),MAX(J51,L48-'数据-取费表'!B24)),IF(D1="——",MIN(J51,L48),MIN(J51,L48-'数据-取费表'!B24)))</f>
        <v>41</v>
      </c>
      <c r="K53" s="3199" t="s">
        <v>1543</v>
      </c>
      <c r="L53" s="3200"/>
      <c r="O53" s="1882" t="s">
        <v>1043</v>
      </c>
      <c r="P53" s="1883" t="s">
        <v>1544</v>
      </c>
      <c r="Q53" s="1884">
        <f ca="1">Q47+Q48</f>
        <v>275</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42</v>
      </c>
      <c r="D56" s="1911"/>
      <c r="E56" s="1912"/>
      <c r="F56" s="1904"/>
      <c r="I56" s="1913" t="s">
        <v>1549</v>
      </c>
      <c r="J56" s="1914" t="s">
        <v>3065</v>
      </c>
      <c r="K56" s="1885" t="s">
        <v>1550</v>
      </c>
      <c r="L56" s="1888" t="str">
        <f ca="1">IF(L48&lt;J51,"——",L48-J53)</f>
        <v>——</v>
      </c>
      <c r="O56" s="1882" t="s">
        <v>1037</v>
      </c>
      <c r="P56" s="1883" t="s">
        <v>1523</v>
      </c>
      <c r="Q56" s="1884">
        <f ca="1">C40+J29</f>
        <v>275</v>
      </c>
      <c r="R56" s="1884" t="s">
        <v>1524</v>
      </c>
    </row>
    <row r="57" spans="1:18" s="1840" customFormat="1" ht="24.75" thickBot="1">
      <c r="A57" s="1915"/>
      <c r="B57" s="1168" t="s">
        <v>1473</v>
      </c>
      <c r="C57" s="282">
        <f ca="1">C29</f>
        <v>48</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5</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4</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4.03</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275</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0.7</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0.1</v>
      </c>
      <c r="D65" s="1182" t="s">
        <v>1449</v>
      </c>
      <c r="E65" s="1168" t="s">
        <v>1450</v>
      </c>
      <c r="F65" s="376">
        <f t="shared" ca="1" si="0"/>
        <v>1.5E-3</v>
      </c>
      <c r="I65" s="1926" t="s">
        <v>1574</v>
      </c>
      <c r="J65" s="1927">
        <v>40</v>
      </c>
      <c r="K65" s="1927">
        <v>30</v>
      </c>
      <c r="L65" s="1927">
        <v>50</v>
      </c>
      <c r="M65" s="1929">
        <v>0.02</v>
      </c>
      <c r="O65" s="1882" t="s">
        <v>1037</v>
      </c>
      <c r="P65" s="1883" t="s">
        <v>1575</v>
      </c>
      <c r="Q65" s="1884">
        <f ca="1">C40+J29</f>
        <v>275</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-5</v>
      </c>
      <c r="D67" s="1181" t="s">
        <v>1459</v>
      </c>
      <c r="E67" s="1186"/>
      <c r="F67" s="1187"/>
      <c r="O67" s="1892" t="s">
        <v>1039</v>
      </c>
      <c r="P67" s="1883" t="s">
        <v>1557</v>
      </c>
      <c r="Q67" s="1930">
        <f ca="1">L51</f>
        <v>142</v>
      </c>
      <c r="R67" s="1884" t="s">
        <v>1577</v>
      </c>
    </row>
    <row r="68" spans="1:18" s="1840" customFormat="1" ht="16.5" thickBot="1">
      <c r="A68" s="1165" t="s">
        <v>1029</v>
      </c>
      <c r="B68" s="1166" t="s">
        <v>1480</v>
      </c>
      <c r="C68" s="346">
        <f ca="1">ROUND(C67*(1-((1+F70)/(1+F68))^F69)/(F68-F70),0)</f>
        <v>-81</v>
      </c>
      <c r="D68" s="1183" t="s">
        <v>1464</v>
      </c>
      <c r="E68" s="1168" t="s">
        <v>1465</v>
      </c>
      <c r="F68" s="357">
        <f ca="1">F40</f>
        <v>5.5E-2</v>
      </c>
      <c r="O68" s="1892" t="s">
        <v>1040</v>
      </c>
      <c r="P68" s="1931" t="s">
        <v>1578</v>
      </c>
      <c r="Q68" s="1884">
        <f ca="1">ROUND(Q69-Q70*Q71,0)</f>
        <v>8</v>
      </c>
      <c r="R68" s="1884" t="s">
        <v>1048</v>
      </c>
    </row>
    <row r="69" spans="1:18" s="1840" customFormat="1" ht="13.5" thickBot="1">
      <c r="A69" s="1169"/>
      <c r="B69" s="1170"/>
      <c r="C69" s="351"/>
      <c r="D69" s="1188" t="s">
        <v>1468</v>
      </c>
      <c r="E69" s="1168" t="s">
        <v>1469</v>
      </c>
      <c r="F69" s="379">
        <f ca="1">F41</f>
        <v>41</v>
      </c>
      <c r="O69" s="1892" t="s">
        <v>1045</v>
      </c>
      <c r="P69" s="1931" t="s">
        <v>1579</v>
      </c>
      <c r="Q69" s="1884">
        <f ca="1">C39</f>
        <v>11</v>
      </c>
      <c r="R69" s="1884" t="s">
        <v>1524</v>
      </c>
    </row>
    <row r="70" spans="1:18" s="1840" customFormat="1" ht="13.5" thickBot="1">
      <c r="A70" s="1172"/>
      <c r="B70" s="1173"/>
      <c r="C70" s="355"/>
      <c r="D70" s="1184"/>
      <c r="E70" s="1168" t="s">
        <v>1472</v>
      </c>
      <c r="F70" s="1273"/>
      <c r="O70" s="1892" t="s">
        <v>1046</v>
      </c>
      <c r="P70" s="1931" t="s">
        <v>1580</v>
      </c>
      <c r="Q70" s="1884">
        <f ca="1">C13</f>
        <v>42</v>
      </c>
      <c r="R70" s="1884" t="s">
        <v>1524</v>
      </c>
    </row>
    <row r="71" spans="1:18" s="1840" customFormat="1" ht="13.5" thickBot="1">
      <c r="A71" s="1189" t="s">
        <v>1030</v>
      </c>
      <c r="B71" s="1190" t="s">
        <v>1482</v>
      </c>
      <c r="C71" s="382">
        <f ca="1">ROUND(C68*10000/F71,0)</f>
        <v>-10315</v>
      </c>
      <c r="D71" s="1191" t="s">
        <v>1483</v>
      </c>
      <c r="E71" s="1192" t="s">
        <v>1484</v>
      </c>
      <c r="F71" s="385">
        <f ca="1">F43</f>
        <v>78.53</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3</v>
      </c>
      <c r="D75" s="1840"/>
      <c r="E75" s="1840"/>
      <c r="F75" s="1840"/>
      <c r="K75" s="1866"/>
      <c r="L75" s="1840"/>
      <c r="O75" s="1882" t="s">
        <v>1043</v>
      </c>
      <c r="P75" s="1883" t="s">
        <v>1544</v>
      </c>
      <c r="Q75" s="1884">
        <f ca="1">Q65+Q66</f>
        <v>275</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0.72699999999999998</v>
      </c>
    </row>
    <row r="80" spans="1:18">
      <c r="B80" s="386" t="s">
        <v>1506</v>
      </c>
      <c r="C80" s="318">
        <f ca="1">ROUND(C75/C39,3)</f>
        <v>0.27300000000000002</v>
      </c>
    </row>
    <row r="81" spans="2:3">
      <c r="B81" s="314" t="s">
        <v>1507</v>
      </c>
      <c r="C81" s="282"/>
    </row>
    <row r="82" spans="2:3">
      <c r="B82" s="317" t="s">
        <v>1508</v>
      </c>
      <c r="C82" s="319">
        <f ca="1">1-C83</f>
        <v>0.84699999999999998</v>
      </c>
    </row>
    <row r="83" spans="2:3">
      <c r="B83" s="317" t="s">
        <v>1509</v>
      </c>
      <c r="C83" s="318">
        <f ca="1">ROUND(C13/C40,3)</f>
        <v>0.153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1" sqref="I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273</v>
      </c>
      <c r="C2" s="1843" t="s">
        <v>1586</v>
      </c>
      <c r="D2" s="1935">
        <f ca="1">C40+J29+L46</f>
        <v>2731674</v>
      </c>
      <c r="E2" s="1844" t="s">
        <v>1587</v>
      </c>
      <c r="F2" s="1845"/>
      <c r="G2" s="1846"/>
      <c r="H2" s="1838"/>
      <c r="I2" s="1838"/>
      <c r="J2" s="1838"/>
      <c r="K2" s="1839"/>
      <c r="L2" s="1838"/>
      <c r="M2" s="1838"/>
    </row>
    <row r="3" spans="1:37" ht="18" customHeight="1" thickBot="1">
      <c r="A3" s="1847" t="s">
        <v>1588</v>
      </c>
      <c r="B3" s="1848">
        <f ca="1">IF(ISERROR(D2/F43),0,ROUND(D2/F43,0))</f>
        <v>34785</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142061</v>
      </c>
      <c r="D5" s="1820" t="s">
        <v>1596</v>
      </c>
      <c r="E5" s="1291"/>
      <c r="F5" s="1292"/>
      <c r="G5" s="1849"/>
      <c r="H5" s="344">
        <v>1</v>
      </c>
      <c r="I5" s="345" t="s">
        <v>1595</v>
      </c>
      <c r="J5" s="1290">
        <f ca="1">J6+J10+J12</f>
        <v>0</v>
      </c>
      <c r="K5" s="1820" t="s">
        <v>1596</v>
      </c>
      <c r="L5" s="1291"/>
      <c r="M5" s="1292"/>
    </row>
    <row r="6" spans="1:37" ht="18" customHeight="1">
      <c r="A6" s="1289" t="s">
        <v>1032</v>
      </c>
      <c r="B6" s="3201" t="s">
        <v>1398</v>
      </c>
      <c r="C6" s="1294">
        <f ca="1">ROUND(F6*F8*F7*(1-F9),0)</f>
        <v>141884</v>
      </c>
      <c r="D6" s="164" t="s">
        <v>3015</v>
      </c>
      <c r="E6" s="347" t="s">
        <v>1400</v>
      </c>
      <c r="F6" s="348">
        <f ca="1">INDIRECT("'数据-取费表'!u"&amp;$G$1)</f>
        <v>5.5</v>
      </c>
      <c r="G6" s="1849"/>
      <c r="H6" s="1289" t="s">
        <v>1032</v>
      </c>
      <c r="I6" s="3201" t="s">
        <v>1398</v>
      </c>
      <c r="J6" s="346">
        <f ca="1">ROUND(M6*M8*M7*(1-M9),0)</f>
        <v>0</v>
      </c>
      <c r="K6" s="1832" t="s">
        <v>3016</v>
      </c>
      <c r="L6" s="347" t="s">
        <v>1400</v>
      </c>
      <c r="M6" s="348">
        <f ca="1">INDIRECT("'数据-取费表'!z"&amp;$G$1)</f>
        <v>0</v>
      </c>
    </row>
    <row r="7" spans="1:37" ht="18" customHeight="1">
      <c r="A7" s="1293"/>
      <c r="B7" s="3202"/>
      <c r="C7" s="1295"/>
      <c r="D7" s="352"/>
      <c r="E7" s="1296" t="s">
        <v>1401</v>
      </c>
      <c r="F7" s="348">
        <f ca="1">IF(INDIRECT("'数据-取费表'!ah"&amp;$G$1)="",INDIRECT("'数据-取费表'!k"&amp;$G$1),INDIRECT("'数据-取费表'!ah"&amp;$G$1))</f>
        <v>78.53</v>
      </c>
      <c r="G7" s="1849"/>
      <c r="H7" s="349"/>
      <c r="I7" s="3202"/>
      <c r="J7" s="351"/>
      <c r="K7" s="352"/>
      <c r="L7" s="347" t="s">
        <v>1401</v>
      </c>
      <c r="M7" s="348">
        <f ca="1">F7</f>
        <v>78.53</v>
      </c>
    </row>
    <row r="8" spans="1:37" ht="18" customHeight="1">
      <c r="A8" s="349"/>
      <c r="B8" s="3202"/>
      <c r="C8" s="351"/>
      <c r="D8" s="352"/>
      <c r="E8" s="347" t="s">
        <v>1402</v>
      </c>
      <c r="F8" s="348">
        <f ca="1">INDIRECT("'数据-取费表'!ai"&amp;$G$1)</f>
        <v>365</v>
      </c>
      <c r="G8" s="1849"/>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0.1</v>
      </c>
      <c r="G9" s="1849"/>
      <c r="H9" s="349"/>
      <c r="I9" s="3203"/>
      <c r="J9" s="351"/>
      <c r="K9" s="352"/>
      <c r="L9" s="358" t="s">
        <v>1403</v>
      </c>
      <c r="M9" s="359">
        <f ca="1">INDIRECT("'数据-取费表'!ab"&amp;$G$1)</f>
        <v>0</v>
      </c>
    </row>
    <row r="10" spans="1:37" ht="18" customHeight="1">
      <c r="A10" s="1289" t="s">
        <v>1036</v>
      </c>
      <c r="B10" s="1821" t="s">
        <v>1404</v>
      </c>
      <c r="C10" s="361">
        <f ca="1">ROUND(IF(F10="押一",C6/12*F11,IF(F10="押二",C6/12*2*F11,IF(F10="押三",C6/12*3*F11,C11*F11))),0)</f>
        <v>177</v>
      </c>
      <c r="D10" s="1822" t="s">
        <v>3026</v>
      </c>
      <c r="E10" s="358" t="s">
        <v>1405</v>
      </c>
      <c r="F10" s="1364" t="s">
        <v>3086</v>
      </c>
      <c r="G10" s="1849"/>
      <c r="H10" s="1289" t="s">
        <v>1036</v>
      </c>
      <c r="I10" s="1821" t="s">
        <v>1404</v>
      </c>
      <c r="J10" s="346">
        <f ca="1">ROUND(IF(M10="押一",J6/12*M11,IF(M10="押二",J6/12*2*M11,IF(M10="押三",J6/12*3*M11,J11*M11))),0)</f>
        <v>0</v>
      </c>
      <c r="K10" s="1833" t="s">
        <v>3028</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417872</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314120</v>
      </c>
      <c r="D14" s="1798" t="s">
        <v>1413</v>
      </c>
      <c r="E14" s="1792"/>
      <c r="F14" s="364"/>
      <c r="G14" s="1849"/>
      <c r="H14" s="1200" t="s">
        <v>1032</v>
      </c>
      <c r="I14" s="347" t="s">
        <v>1414</v>
      </c>
      <c r="J14" s="24">
        <f ca="1">C29</f>
        <v>474855</v>
      </c>
      <c r="K14" s="15"/>
      <c r="L14" s="978"/>
      <c r="M14" s="979"/>
    </row>
    <row r="15" spans="1:37" s="1856" customFormat="1" ht="18" customHeight="1" thickBot="1">
      <c r="A15" s="1200" t="s">
        <v>1033</v>
      </c>
      <c r="B15" s="347" t="s">
        <v>1415</v>
      </c>
      <c r="C15" s="24">
        <f ca="1">ROUND(C14*F15,0)</f>
        <v>9424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11112</v>
      </c>
      <c r="K16" s="1335" t="s">
        <v>1420</v>
      </c>
      <c r="L16" s="1336"/>
      <c r="M16" s="1292"/>
    </row>
    <row r="17" spans="1:37" s="1856" customFormat="1" ht="18" customHeight="1">
      <c r="A17" s="1200" t="s">
        <v>1385</v>
      </c>
      <c r="B17" s="347" t="s">
        <v>1421</v>
      </c>
      <c r="C17" s="24">
        <f ca="1">ROUND(F17*(F43+INDIRECT("'数据-取费表'!S"&amp;$G$1)),0)</f>
        <v>15706</v>
      </c>
      <c r="D17" s="347" t="s">
        <v>1422</v>
      </c>
      <c r="E17" s="347" t="s">
        <v>1423</v>
      </c>
      <c r="F17" s="26">
        <f>'数据-取费表'!B35</f>
        <v>200</v>
      </c>
      <c r="G17" s="1852"/>
      <c r="H17" s="1200" t="s">
        <v>1032</v>
      </c>
      <c r="I17" s="347" t="s">
        <v>1424</v>
      </c>
      <c r="J17" s="24">
        <f ca="1">ROUND(IF(项目基本情况!B11="自然人",J6*M17/(1+'数据-取费表'!C42),J18+J19+J20),0)</f>
        <v>3989</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4712</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343962</v>
      </c>
      <c r="D19" s="140" t="s">
        <v>1431</v>
      </c>
      <c r="E19" s="1816"/>
      <c r="F19" s="26"/>
      <c r="G19" s="1849"/>
      <c r="H19" s="1200" t="s">
        <v>1033</v>
      </c>
      <c r="I19" s="347" t="s">
        <v>1432</v>
      </c>
      <c r="J19" s="24">
        <f ca="1">IF(K19="按租金收入计税",ROUND(J6*M19/(1+'数据-取费表'!C42),0),ROUND(C29*M19*0.7,0))</f>
        <v>3989</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6879</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7123</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16665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-11112</v>
      </c>
      <c r="K25" s="1343" t="s">
        <v>1459</v>
      </c>
      <c r="L25" s="1344"/>
      <c r="M25" s="1345"/>
    </row>
    <row r="26" spans="1:37" ht="18" customHeight="1">
      <c r="A26" s="1200" t="s">
        <v>1031</v>
      </c>
      <c r="B26" s="347" t="s">
        <v>1460</v>
      </c>
      <c r="C26" s="24">
        <f ca="1">ROUND((C19+C20)*F26,0)</f>
        <v>70168</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474855</v>
      </c>
      <c r="D29" s="1340"/>
      <c r="E29" s="1338"/>
      <c r="F29" s="1341"/>
      <c r="G29" s="1852"/>
      <c r="H29" s="380" t="s">
        <v>1030</v>
      </c>
      <c r="I29" s="381" t="s">
        <v>1474</v>
      </c>
      <c r="J29" s="382">
        <f ca="1">ROUND(J26/(1+F40)^F41,0)</f>
        <v>0</v>
      </c>
      <c r="K29" s="383" t="s">
        <v>1475</v>
      </c>
      <c r="L29" s="384"/>
      <c r="M29" s="385">
        <f ca="1">INDIRECT("'数据-取费表'!k"&amp;$G$1)</f>
        <v>78.53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32953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23782</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7567</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16215</v>
      </c>
      <c r="D33" s="1826" t="s">
        <v>3087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7123</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627</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1420.6</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109108</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2731674</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34785</v>
      </c>
      <c r="D43" s="383" t="s">
        <v>1483</v>
      </c>
      <c r="E43" s="384" t="s">
        <v>1484</v>
      </c>
      <c r="F43" s="385">
        <f ca="1">INDIRECT("'数据-取费表'!k"&amp;$G$1)</f>
        <v>78.53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-3924359</v>
      </c>
      <c r="D45" s="1937" t="s">
        <v>1599</v>
      </c>
      <c r="E45" s="1864"/>
      <c r="F45" s="1864"/>
      <c r="O45" s="1867" t="s">
        <v>1514</v>
      </c>
      <c r="P45" s="1837"/>
      <c r="Q45" s="1837"/>
      <c r="R45" s="1837"/>
    </row>
    <row r="46" spans="1:18" s="1840" customFormat="1" ht="13.5" thickBot="1">
      <c r="A46" s="1868" t="s">
        <v>1515</v>
      </c>
      <c r="C46" s="1869">
        <f ca="1">ROUND(C45/10000,0)</f>
        <v>-392</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2731674</v>
      </c>
      <c r="R47" s="1884" t="s">
        <v>1524</v>
      </c>
    </row>
    <row r="48" spans="1:18" s="1840" customFormat="1" ht="28.5" thickBot="1">
      <c r="A48" s="1358" t="s">
        <v>1132</v>
      </c>
      <c r="B48" s="345" t="s">
        <v>1396</v>
      </c>
      <c r="C48" s="1815">
        <f ca="1">C49+C53+C55</f>
        <v>0</v>
      </c>
      <c r="D48" s="1360"/>
      <c r="E48" s="1361"/>
      <c r="F48" s="1180"/>
      <c r="G48" s="791"/>
      <c r="H48" s="792"/>
      <c r="I48" s="1885" t="s">
        <v>1525</v>
      </c>
      <c r="J48" s="1886" t="s">
        <v>3089</v>
      </c>
      <c r="K48" s="1887" t="s">
        <v>1526</v>
      </c>
      <c r="L48" s="1888">
        <f ca="1">INDIRECT("'数据-取费表'!f"&amp;$G$1)</f>
        <v>41</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474855</v>
      </c>
      <c r="R49" s="1884" t="s">
        <v>1524</v>
      </c>
    </row>
    <row r="50" spans="1:18" s="1840" customFormat="1" ht="13.5" thickBot="1">
      <c r="A50" s="1194"/>
      <c r="B50" s="1197"/>
      <c r="C50" s="1198"/>
      <c r="D50" s="1171"/>
      <c r="E50" s="1275" t="s">
        <v>1401</v>
      </c>
      <c r="F50" s="1276">
        <f ca="1">F7</f>
        <v>78.53</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1405050</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41</v>
      </c>
      <c r="R52" s="1884" t="s">
        <v>1541</v>
      </c>
    </row>
    <row r="53" spans="1:18" s="1840" customFormat="1" ht="30.75" customHeight="1" thickBot="1">
      <c r="A53" s="1359" t="s">
        <v>1134</v>
      </c>
      <c r="B53" s="369" t="s">
        <v>1404</v>
      </c>
      <c r="C53" s="361">
        <f ca="1">ROUND(IF(F53="押一",C49/12*F11,IF(F53="押二",C49/12*2*F11,IF(F53="押三",C49/12*3*F11,C54*F11))),0)</f>
        <v>0</v>
      </c>
      <c r="D53" s="1822" t="s">
        <v>3029</v>
      </c>
      <c r="E53" s="358" t="s">
        <v>1405</v>
      </c>
      <c r="F53" s="1364"/>
      <c r="I53" s="1903" t="s">
        <v>1542</v>
      </c>
      <c r="J53" s="2955">
        <f ca="1">IF(M47="住宅",IF(D1="——",MAX(J51,L48),MAX(J51,L48-'数据-取费表'!B24)),IF(D1="——",MIN(J51,L48),MIN(J51,L48-'数据-取费表'!B24)))</f>
        <v>41</v>
      </c>
      <c r="K53" s="3199" t="s">
        <v>1543</v>
      </c>
      <c r="L53" s="3200"/>
      <c r="O53" s="1882" t="s">
        <v>1043</v>
      </c>
      <c r="P53" s="1883" t="s">
        <v>1544</v>
      </c>
      <c r="Q53" s="1884">
        <f ca="1">Q47+Q48</f>
        <v>2731674</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417872</v>
      </c>
      <c r="D56" s="1911"/>
      <c r="E56" s="1912"/>
      <c r="F56" s="1904"/>
      <c r="I56" s="1913" t="s">
        <v>1549</v>
      </c>
      <c r="J56" s="1914" t="s">
        <v>3065</v>
      </c>
      <c r="K56" s="1885" t="s">
        <v>1550</v>
      </c>
      <c r="L56" s="1888" t="str">
        <f ca="1">IF(L48&lt;J51,"——",L48-J51)</f>
        <v>——</v>
      </c>
      <c r="O56" s="1882" t="s">
        <v>1037</v>
      </c>
      <c r="P56" s="1883" t="s">
        <v>1523</v>
      </c>
      <c r="Q56" s="1884">
        <f ca="1">C40+J29</f>
        <v>2731674</v>
      </c>
      <c r="R56" s="1884" t="s">
        <v>1524</v>
      </c>
    </row>
    <row r="57" spans="1:18" s="1840" customFormat="1" ht="24.75" thickBot="1">
      <c r="A57" s="1915"/>
      <c r="B57" s="1168" t="s">
        <v>1473</v>
      </c>
      <c r="C57" s="282">
        <f ca="1">C29</f>
        <v>474855</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47638</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39888</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39888</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2731674</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7123</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627</v>
      </c>
      <c r="D65" s="1182" t="s">
        <v>1449</v>
      </c>
      <c r="E65" s="1168" t="s">
        <v>1450</v>
      </c>
      <c r="F65" s="376">
        <f t="shared" ca="1" si="0"/>
        <v>1.5E-3</v>
      </c>
      <c r="I65" s="1926" t="s">
        <v>1574</v>
      </c>
      <c r="J65" s="1927">
        <v>40</v>
      </c>
      <c r="K65" s="1927">
        <v>30</v>
      </c>
      <c r="L65" s="1927">
        <v>50</v>
      </c>
      <c r="M65" s="1929">
        <v>0.02</v>
      </c>
      <c r="O65" s="1882" t="s">
        <v>1037</v>
      </c>
      <c r="P65" s="1883" t="s">
        <v>1575</v>
      </c>
      <c r="Q65" s="1884">
        <f ca="1">C40+J29</f>
        <v>2731674</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-47638</v>
      </c>
      <c r="D67" s="1181" t="s">
        <v>1459</v>
      </c>
      <c r="E67" s="1186"/>
      <c r="F67" s="1187"/>
      <c r="O67" s="1892" t="s">
        <v>1039</v>
      </c>
      <c r="P67" s="1883" t="s">
        <v>1557</v>
      </c>
      <c r="Q67" s="1930">
        <f ca="1">L51</f>
        <v>1405050</v>
      </c>
      <c r="R67" s="1884" t="s">
        <v>1577</v>
      </c>
    </row>
    <row r="68" spans="1:18" s="1840" customFormat="1" ht="16.5" thickBot="1">
      <c r="A68" s="1165" t="s">
        <v>1029</v>
      </c>
      <c r="B68" s="1166" t="s">
        <v>1480</v>
      </c>
      <c r="C68" s="346">
        <f ca="1">ROUND(C67*(1-((1+F70)/(1+F68))^F69)/(F68-F70),0)</f>
        <v>-1192685</v>
      </c>
      <c r="D68" s="1183" t="s">
        <v>1464</v>
      </c>
      <c r="E68" s="1168" t="s">
        <v>1465</v>
      </c>
      <c r="F68" s="357">
        <f ca="1">F40</f>
        <v>5.5E-2</v>
      </c>
      <c r="O68" s="1892" t="s">
        <v>1040</v>
      </c>
      <c r="P68" s="1931" t="s">
        <v>1578</v>
      </c>
      <c r="Q68" s="1884">
        <f ca="1">ROUND(Q69-Q70*Q71,0)</f>
        <v>75678</v>
      </c>
      <c r="R68" s="1884" t="s">
        <v>1048</v>
      </c>
    </row>
    <row r="69" spans="1:18" s="1840" customFormat="1" ht="13.5" thickBot="1">
      <c r="A69" s="1169"/>
      <c r="B69" s="1170"/>
      <c r="C69" s="351"/>
      <c r="D69" s="1188" t="s">
        <v>1468</v>
      </c>
      <c r="E69" s="1168" t="s">
        <v>1469</v>
      </c>
      <c r="F69" s="379">
        <f ca="1">F41</f>
        <v>41</v>
      </c>
      <c r="O69" s="1892" t="s">
        <v>1045</v>
      </c>
      <c r="P69" s="1931" t="s">
        <v>1579</v>
      </c>
      <c r="Q69" s="1884">
        <f ca="1">C39</f>
        <v>109108</v>
      </c>
      <c r="R69" s="1884" t="s">
        <v>1524</v>
      </c>
    </row>
    <row r="70" spans="1:18" s="1840" customFormat="1" ht="13.5" thickBot="1">
      <c r="A70" s="1172"/>
      <c r="B70" s="1173"/>
      <c r="C70" s="355"/>
      <c r="D70" s="1184"/>
      <c r="E70" s="1168" t="s">
        <v>1472</v>
      </c>
      <c r="F70" s="1273">
        <f ca="1">F42</f>
        <v>0.03</v>
      </c>
      <c r="O70" s="1892" t="s">
        <v>1046</v>
      </c>
      <c r="P70" s="1931" t="s">
        <v>1580</v>
      </c>
      <c r="Q70" s="1884">
        <f ca="1">C13</f>
        <v>417872</v>
      </c>
      <c r="R70" s="1884" t="s">
        <v>1524</v>
      </c>
    </row>
    <row r="71" spans="1:18" s="1840" customFormat="1" ht="13.5" thickBot="1">
      <c r="A71" s="1189" t="s">
        <v>1030</v>
      </c>
      <c r="B71" s="1190" t="s">
        <v>1482</v>
      </c>
      <c r="C71" s="382">
        <f ca="1">ROUND(C68/F71,0)</f>
        <v>-15188</v>
      </c>
      <c r="D71" s="1191" t="s">
        <v>1483</v>
      </c>
      <c r="E71" s="1192" t="s">
        <v>1484</v>
      </c>
      <c r="F71" s="385">
        <f ca="1">F43</f>
        <v>78.53</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33430</v>
      </c>
      <c r="D75" s="1840"/>
      <c r="E75" s="1840"/>
      <c r="F75" s="1840"/>
      <c r="K75" s="1866"/>
      <c r="L75" s="1840"/>
      <c r="O75" s="1882" t="s">
        <v>1043</v>
      </c>
      <c r="P75" s="1883" t="s">
        <v>1544</v>
      </c>
      <c r="Q75" s="1884">
        <f ca="1">Q65+Q66</f>
        <v>2731674</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0.69399999999999995</v>
      </c>
    </row>
    <row r="80" spans="1:18">
      <c r="B80" s="386" t="s">
        <v>1506</v>
      </c>
      <c r="C80" s="318">
        <f ca="1">ROUND(C75/C39,3)</f>
        <v>0.30599999999999999</v>
      </c>
    </row>
    <row r="81" spans="2:3">
      <c r="B81" s="314" t="s">
        <v>1507</v>
      </c>
      <c r="C81" s="282"/>
    </row>
    <row r="82" spans="2:3">
      <c r="B82" s="317" t="s">
        <v>1508</v>
      </c>
      <c r="C82" s="319">
        <f ca="1">1-C83</f>
        <v>0.84699999999999998</v>
      </c>
    </row>
    <row r="83" spans="2:3">
      <c r="B83" s="317" t="s">
        <v>1509</v>
      </c>
      <c r="C83" s="318">
        <f ca="1">ROUND(C13/C40,3)</f>
        <v>0.153</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2516</v>
      </c>
      <c r="B1" s="2558"/>
      <c r="C1" s="2558"/>
      <c r="D1" s="2558"/>
      <c r="E1" s="2559"/>
    </row>
    <row r="2" spans="1:6" ht="15.75">
      <c r="A2" s="2560" t="s">
        <v>2317</v>
      </c>
      <c r="B2" s="2561">
        <f ca="1">SUMIF(B6:B13,"&lt;&gt;#ref!",B6:B13)</f>
        <v>273</v>
      </c>
      <c r="C2" s="2562" t="s">
        <v>2509</v>
      </c>
      <c r="D2" s="2563" t="s">
        <v>2510</v>
      </c>
      <c r="E2" s="2564">
        <f>SUM(E6:E13)</f>
        <v>78.53</v>
      </c>
    </row>
    <row r="3" spans="1:6" ht="15.75">
      <c r="A3" s="2560" t="s">
        <v>1390</v>
      </c>
      <c r="B3" s="2561">
        <f ca="1">ROUND(B2*10000/E2,0)</f>
        <v>34764</v>
      </c>
      <c r="C3" s="2562" t="s">
        <v>2517</v>
      </c>
      <c r="D3" s="2565"/>
      <c r="E3" s="2566"/>
    </row>
    <row r="4" spans="1:6" ht="15.75">
      <c r="A4" s="2567"/>
      <c r="B4" s="2565"/>
      <c r="C4" s="2565"/>
      <c r="D4" s="2565"/>
      <c r="E4" s="2566"/>
    </row>
    <row r="5" spans="1:6" ht="15">
      <c r="A5" s="2568" t="s">
        <v>2511</v>
      </c>
      <c r="B5" s="3204" t="s">
        <v>2512</v>
      </c>
      <c r="C5" s="3204"/>
      <c r="D5" s="2569"/>
      <c r="E5" s="2570" t="s">
        <v>2513</v>
      </c>
      <c r="F5" s="2571" t="s">
        <v>2514</v>
      </c>
    </row>
    <row r="6" spans="1:6">
      <c r="A6" s="2572" t="str">
        <f>'数据-取费表'!AN6</f>
        <v>收益法 (元)</v>
      </c>
      <c r="B6" s="2571">
        <f ca="1">IF(F6="是",'数据-取费表'!AO6,0)</f>
        <v>273</v>
      </c>
      <c r="C6" s="2562" t="s">
        <v>2509</v>
      </c>
      <c r="D6" s="2565"/>
      <c r="E6" s="2573">
        <f>IF(OR(A6=0,F6="否"),0,'数据-取费表'!K6+'数据-取费表'!S6)</f>
        <v>78.53</v>
      </c>
      <c r="F6" s="2574" t="s">
        <v>2515</v>
      </c>
    </row>
    <row r="7" spans="1:6">
      <c r="A7" s="2572">
        <f>'数据-取费表'!AN7</f>
        <v>0</v>
      </c>
      <c r="B7" s="2571" t="e">
        <f ca="1">IF(F7="是",'数据-取费表'!AO7,0)</f>
        <v>#REF!</v>
      </c>
      <c r="C7" s="2562" t="s">
        <v>2509</v>
      </c>
      <c r="D7" s="2565"/>
      <c r="E7" s="2573">
        <f>IF(OR(A7=0,F7="否"),0,'数据-取费表'!K7+'数据-取费表'!S7)</f>
        <v>0</v>
      </c>
      <c r="F7" s="2574" t="s">
        <v>2515</v>
      </c>
    </row>
    <row r="8" spans="1:6">
      <c r="A8" s="2572">
        <f>'数据-取费表'!AN8</f>
        <v>0</v>
      </c>
      <c r="B8" s="2571" t="e">
        <f ca="1">IF(F8="是",'数据-取费表'!AO8,0)</f>
        <v>#REF!</v>
      </c>
      <c r="C8" s="2562" t="s">
        <v>2509</v>
      </c>
      <c r="D8" s="2565"/>
      <c r="E8" s="2573">
        <f>IF(OR(A8=0,F8="否"),0,'数据-取费表'!K8+'数据-取费表'!S8)</f>
        <v>0</v>
      </c>
      <c r="F8" s="2574" t="s">
        <v>2515</v>
      </c>
    </row>
    <row r="9" spans="1:6">
      <c r="A9" s="2572">
        <f>'数据-取费表'!AN9</f>
        <v>0</v>
      </c>
      <c r="B9" s="2571" t="e">
        <f ca="1">IF(F9="是",'数据-取费表'!AO9,0)</f>
        <v>#REF!</v>
      </c>
      <c r="C9" s="2562" t="s">
        <v>2509</v>
      </c>
      <c r="D9" s="2565"/>
      <c r="E9" s="2573">
        <f>IF(OR(A9=0,F9="否"),0,'数据-取费表'!K9+'数据-取费表'!S9)</f>
        <v>0</v>
      </c>
      <c r="F9" s="2574" t="s">
        <v>2515</v>
      </c>
    </row>
    <row r="10" spans="1:6">
      <c r="A10" s="2572">
        <f>'数据-取费表'!AN10</f>
        <v>0</v>
      </c>
      <c r="B10" s="2571" t="e">
        <f ca="1">IF(F10="是",'数据-取费表'!AO10,0)</f>
        <v>#REF!</v>
      </c>
      <c r="C10" s="2562" t="s">
        <v>2509</v>
      </c>
      <c r="D10" s="2565"/>
      <c r="E10" s="2573">
        <f>IF(OR(A10=0,F10="否"),0,'数据-取费表'!K10+'数据-取费表'!S10)</f>
        <v>0</v>
      </c>
      <c r="F10" s="2574" t="s">
        <v>2515</v>
      </c>
    </row>
    <row r="11" spans="1:6">
      <c r="A11" s="2572">
        <f>'数据-取费表'!AN11</f>
        <v>0</v>
      </c>
      <c r="B11" s="2571" t="e">
        <f ca="1">IF(F11="是",'数据-取费表'!AO11,0)</f>
        <v>#REF!</v>
      </c>
      <c r="C11" s="2562" t="s">
        <v>2509</v>
      </c>
      <c r="D11" s="2565"/>
      <c r="E11" s="2573">
        <f>IF(OR(A11=0,F11="否"),0,'数据-取费表'!K11+'数据-取费表'!S11)</f>
        <v>0</v>
      </c>
      <c r="F11" s="2574" t="s">
        <v>2515</v>
      </c>
    </row>
    <row r="12" spans="1:6">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5" t="s">
        <v>1073</v>
      </c>
      <c r="B1" s="3206"/>
      <c r="C1" s="3207"/>
      <c r="D1" s="3208">
        <f>SUM(I10,I15,I20,I21,I23)</f>
        <v>0</v>
      </c>
      <c r="E1" s="3208"/>
      <c r="F1" s="3208"/>
      <c r="G1" s="3208"/>
      <c r="H1" s="3208"/>
      <c r="I1" s="3209"/>
    </row>
    <row r="2" spans="1:9">
      <c r="A2" s="3210" t="s">
        <v>1074</v>
      </c>
      <c r="B2" s="3211" t="s">
        <v>1075</v>
      </c>
      <c r="C2" s="3211"/>
      <c r="D2" s="1299" t="s">
        <v>1076</v>
      </c>
      <c r="E2" s="1299" t="s">
        <v>1077</v>
      </c>
      <c r="F2" s="1299" t="s">
        <v>1078</v>
      </c>
      <c r="G2" s="1299" t="s">
        <v>1079</v>
      </c>
      <c r="H2" s="1299" t="s">
        <v>1080</v>
      </c>
      <c r="I2" s="1300" t="s">
        <v>1081</v>
      </c>
    </row>
    <row r="3" spans="1:9">
      <c r="A3" s="3210"/>
      <c r="B3" s="3211" t="s">
        <v>1082</v>
      </c>
      <c r="C3" s="3211"/>
      <c r="D3" s="1301"/>
      <c r="E3" s="1299"/>
      <c r="F3" s="1302"/>
      <c r="G3" s="1302"/>
      <c r="H3" s="1303"/>
      <c r="I3" s="1304">
        <f>ROUND(D3*E3*F3*G3*H3/10000,0)</f>
        <v>0</v>
      </c>
    </row>
    <row r="4" spans="1:9">
      <c r="A4" s="3210"/>
      <c r="B4" s="3211" t="s">
        <v>1083</v>
      </c>
      <c r="C4" s="3211"/>
      <c r="D4" s="1301"/>
      <c r="E4" s="1299"/>
      <c r="F4" s="1302"/>
      <c r="G4" s="1302"/>
      <c r="H4" s="1303"/>
      <c r="I4" s="1304">
        <f t="shared" ref="I4:I9" si="0">ROUND(D4*E4*F4*G4*H4/10000,0)</f>
        <v>0</v>
      </c>
    </row>
    <row r="5" spans="1:9">
      <c r="A5" s="3210"/>
      <c r="B5" s="3211" t="s">
        <v>1084</v>
      </c>
      <c r="C5" s="3211"/>
      <c r="D5" s="1301"/>
      <c r="E5" s="1299"/>
      <c r="F5" s="1302"/>
      <c r="G5" s="1302"/>
      <c r="H5" s="1303"/>
      <c r="I5" s="1304">
        <f t="shared" si="0"/>
        <v>0</v>
      </c>
    </row>
    <row r="6" spans="1:9">
      <c r="A6" s="3210"/>
      <c r="B6" s="3211" t="s">
        <v>1085</v>
      </c>
      <c r="C6" s="3211"/>
      <c r="D6" s="1301"/>
      <c r="E6" s="1299"/>
      <c r="F6" s="1302"/>
      <c r="G6" s="1302"/>
      <c r="H6" s="1303"/>
      <c r="I6" s="1304">
        <f t="shared" si="0"/>
        <v>0</v>
      </c>
    </row>
    <row r="7" spans="1:9">
      <c r="A7" s="3210"/>
      <c r="B7" s="3211" t="s">
        <v>1086</v>
      </c>
      <c r="C7" s="3211"/>
      <c r="D7" s="1301"/>
      <c r="E7" s="1299"/>
      <c r="F7" s="1302"/>
      <c r="G7" s="1302"/>
      <c r="H7" s="1303"/>
      <c r="I7" s="1304">
        <f t="shared" si="0"/>
        <v>0</v>
      </c>
    </row>
    <row r="8" spans="1:9">
      <c r="A8" s="3210"/>
      <c r="B8" s="3211" t="s">
        <v>1087</v>
      </c>
      <c r="C8" s="3211"/>
      <c r="D8" s="1301"/>
      <c r="E8" s="1299"/>
      <c r="F8" s="1302"/>
      <c r="G8" s="1302"/>
      <c r="H8" s="1303"/>
      <c r="I8" s="1304">
        <f t="shared" si="0"/>
        <v>0</v>
      </c>
    </row>
    <row r="9" spans="1:9">
      <c r="A9" s="3210"/>
      <c r="B9" s="3211" t="s">
        <v>1088</v>
      </c>
      <c r="C9" s="3211"/>
      <c r="D9" s="1301"/>
      <c r="E9" s="1299"/>
      <c r="F9" s="1302"/>
      <c r="G9" s="1302"/>
      <c r="H9" s="1303"/>
      <c r="I9" s="1304">
        <f t="shared" si="0"/>
        <v>0</v>
      </c>
    </row>
    <row r="10" spans="1:9">
      <c r="A10" s="3210"/>
      <c r="B10" s="3212" t="s">
        <v>1089</v>
      </c>
      <c r="C10" s="3212"/>
      <c r="D10" s="1305"/>
      <c r="E10" s="1305" t="e">
        <f>ROUND(D1*10000/D10/H9,0)</f>
        <v>#DIV/0!</v>
      </c>
      <c r="F10" s="1306"/>
      <c r="G10" s="1306"/>
      <c r="H10" s="1307"/>
      <c r="I10" s="1308">
        <f>SUM(I3:I9)</f>
        <v>0</v>
      </c>
    </row>
    <row r="11" spans="1:9" ht="14.25">
      <c r="A11" s="3210" t="s">
        <v>1090</v>
      </c>
      <c r="B11" s="3211" t="s">
        <v>1091</v>
      </c>
      <c r="C11" s="3211"/>
      <c r="D11" s="1301" t="s">
        <v>1092</v>
      </c>
      <c r="E11" s="1301" t="s">
        <v>1093</v>
      </c>
      <c r="F11" s="1302" t="s">
        <v>1094</v>
      </c>
      <c r="G11" s="1302" t="s">
        <v>1080</v>
      </c>
      <c r="H11" s="1309" t="s">
        <v>1095</v>
      </c>
      <c r="I11" s="1300" t="s">
        <v>1081</v>
      </c>
    </row>
    <row r="12" spans="1:9">
      <c r="A12" s="3210"/>
      <c r="B12" s="3211" t="s">
        <v>1096</v>
      </c>
      <c r="C12" s="3211"/>
      <c r="D12" s="1301"/>
      <c r="E12" s="1301"/>
      <c r="F12" s="1302"/>
      <c r="G12" s="1303"/>
      <c r="H12" s="1310"/>
      <c r="I12" s="1300">
        <f>ROUND(D12*E12*F12*G12/10000,0)</f>
        <v>0</v>
      </c>
    </row>
    <row r="13" spans="1:9">
      <c r="A13" s="3210"/>
      <c r="B13" s="3211" t="s">
        <v>1097</v>
      </c>
      <c r="C13" s="3211"/>
      <c r="D13" s="1301"/>
      <c r="E13" s="1301"/>
      <c r="F13" s="1302"/>
      <c r="G13" s="1303"/>
      <c r="H13" s="1310"/>
      <c r="I13" s="1300">
        <f>ROUND(D13*E13*F13*G13/10000,0)</f>
        <v>0</v>
      </c>
    </row>
    <row r="14" spans="1:9">
      <c r="A14" s="3210"/>
      <c r="B14" s="3211" t="s">
        <v>1098</v>
      </c>
      <c r="C14" s="3211"/>
      <c r="D14" s="1301"/>
      <c r="E14" s="1301"/>
      <c r="F14" s="1302"/>
      <c r="G14" s="1303"/>
      <c r="H14" s="1310"/>
      <c r="I14" s="1300">
        <f>ROUND(D14*E14*F14*G14/10000,0)</f>
        <v>0</v>
      </c>
    </row>
    <row r="15" spans="1:9">
      <c r="A15" s="3210"/>
      <c r="B15" s="3212" t="s">
        <v>1089</v>
      </c>
      <c r="C15" s="3212"/>
      <c r="D15" s="1305"/>
      <c r="E15" s="1305">
        <f>SUM(E12:E14)</f>
        <v>0</v>
      </c>
      <c r="F15" s="1306"/>
      <c r="G15" s="1303"/>
      <c r="H15" s="1310"/>
      <c r="I15" s="1311">
        <f>SUM(I12:I14)</f>
        <v>0</v>
      </c>
    </row>
    <row r="16" spans="1:9" ht="24">
      <c r="A16" s="3210" t="s">
        <v>1099</v>
      </c>
      <c r="B16" s="3211" t="s">
        <v>1100</v>
      </c>
      <c r="C16" s="3211"/>
      <c r="D16" s="1301" t="s">
        <v>1076</v>
      </c>
      <c r="E16" s="1312" t="s">
        <v>1101</v>
      </c>
      <c r="F16" s="1302" t="s">
        <v>1102</v>
      </c>
      <c r="G16" s="1303" t="s">
        <v>1080</v>
      </c>
      <c r="H16" s="1309" t="s">
        <v>1095</v>
      </c>
      <c r="I16" s="1300" t="s">
        <v>1081</v>
      </c>
    </row>
    <row r="17" spans="1:9" ht="14.25">
      <c r="A17" s="3210"/>
      <c r="B17" s="3211" t="s">
        <v>1103</v>
      </c>
      <c r="C17" s="3211"/>
      <c r="D17" s="1301"/>
      <c r="E17" s="1301"/>
      <c r="F17" s="1302"/>
      <c r="G17" s="1303"/>
      <c r="H17" s="1313"/>
      <c r="I17" s="1314">
        <f>ROUND(D17*E17*F17*G17/10000,0)</f>
        <v>0</v>
      </c>
    </row>
    <row r="18" spans="1:9" ht="14.25">
      <c r="A18" s="3210"/>
      <c r="B18" s="3211" t="s">
        <v>1104</v>
      </c>
      <c r="C18" s="3211"/>
      <c r="D18" s="1301"/>
      <c r="E18" s="1301"/>
      <c r="F18" s="1302"/>
      <c r="G18" s="1303"/>
      <c r="H18" s="1313"/>
      <c r="I18" s="1314">
        <f>ROUND(D18*E18*F18*G18/10000,0)</f>
        <v>0</v>
      </c>
    </row>
    <row r="19" spans="1:9" ht="14.25">
      <c r="A19" s="3210"/>
      <c r="B19" s="3211" t="s">
        <v>1105</v>
      </c>
      <c r="C19" s="3211"/>
      <c r="D19" s="1301"/>
      <c r="E19" s="1301"/>
      <c r="F19" s="1302"/>
      <c r="G19" s="1303"/>
      <c r="H19" s="1313"/>
      <c r="I19" s="1314">
        <f>ROUND(D19*E19*F19*G19/10000,0)</f>
        <v>0</v>
      </c>
    </row>
    <row r="20" spans="1:9">
      <c r="A20" s="3210"/>
      <c r="B20" s="3212" t="s">
        <v>1089</v>
      </c>
      <c r="C20" s="3212"/>
      <c r="D20" s="1305">
        <f>SUM(D17:D19)</f>
        <v>0</v>
      </c>
      <c r="E20" s="1305"/>
      <c r="F20" s="1306"/>
      <c r="G20" s="1303"/>
      <c r="H20" s="1310"/>
      <c r="I20" s="1311">
        <f>SUM(I17:I19)</f>
        <v>0</v>
      </c>
    </row>
    <row r="21" spans="1:9">
      <c r="A21" s="3210" t="s">
        <v>1106</v>
      </c>
      <c r="B21" s="3214"/>
      <c r="C21" s="3214"/>
      <c r="D21" s="3214"/>
      <c r="E21" s="3214"/>
      <c r="F21" s="3214"/>
      <c r="G21" s="3214"/>
      <c r="H21" s="1763">
        <v>0.1</v>
      </c>
      <c r="I21" s="1308">
        <f>ROUND(I10*H21,0)</f>
        <v>0</v>
      </c>
    </row>
    <row r="22" spans="1:9" ht="14.25">
      <c r="A22" s="3215" t="s">
        <v>1107</v>
      </c>
      <c r="B22" s="3216"/>
      <c r="C22" s="3217"/>
      <c r="D22" s="1315" t="s">
        <v>1108</v>
      </c>
      <c r="E22" s="1315" t="s">
        <v>1109</v>
      </c>
      <c r="F22" s="1316" t="s">
        <v>1110</v>
      </c>
      <c r="G22" s="1316" t="s">
        <v>1111</v>
      </c>
      <c r="H22" s="1309" t="s">
        <v>1112</v>
      </c>
      <c r="I22" s="1300" t="s">
        <v>1113</v>
      </c>
    </row>
    <row r="23" spans="1:9" ht="14.25" thickBot="1">
      <c r="A23" s="3218"/>
      <c r="B23" s="3219"/>
      <c r="C23" s="3220"/>
      <c r="D23" s="1317"/>
      <c r="E23" s="1317"/>
      <c r="F23" s="1317"/>
      <c r="G23" s="1318"/>
      <c r="H23" s="1319"/>
      <c r="I23" s="1320">
        <f>ROUND(E23*D23*F23*(1-G23)/10000,0)</f>
        <v>0</v>
      </c>
    </row>
    <row r="26" spans="1:9">
      <c r="A26" s="1321" t="s">
        <v>1114</v>
      </c>
      <c r="B26" s="1321"/>
      <c r="C26" s="1321"/>
      <c r="D26" s="1321"/>
      <c r="E26" s="3221">
        <f>C27-C30-C31-C32</f>
        <v>0</v>
      </c>
      <c r="F26" s="3221"/>
      <c r="G26" s="3221"/>
      <c r="H26" s="1735" t="s">
        <v>1336</v>
      </c>
    </row>
    <row r="27" spans="1:9">
      <c r="A27" s="1322">
        <v>1</v>
      </c>
      <c r="B27" s="1323" t="s">
        <v>1115</v>
      </c>
      <c r="C27" s="1323">
        <f>C28+C29</f>
        <v>0</v>
      </c>
      <c r="D27" s="1323"/>
      <c r="E27" s="3222"/>
      <c r="F27" s="3222"/>
      <c r="G27" s="3222"/>
    </row>
    <row r="28" spans="1:9">
      <c r="A28" s="1324" t="s">
        <v>1116</v>
      </c>
      <c r="B28" s="1323" t="s">
        <v>1117</v>
      </c>
      <c r="C28" s="1323"/>
      <c r="D28" s="1323"/>
      <c r="E28" s="3222"/>
      <c r="F28" s="3222"/>
      <c r="G28" s="322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3"/>
      <c r="F32" s="3213"/>
      <c r="G32" s="3213"/>
    </row>
    <row r="33" spans="1:7" hidden="1">
      <c r="A33" s="3223" t="s">
        <v>1126</v>
      </c>
      <c r="B33" s="3224"/>
      <c r="C33" s="3224"/>
      <c r="D33" s="3225"/>
      <c r="E33" s="3221"/>
      <c r="F33" s="3221"/>
      <c r="G33" s="3221"/>
    </row>
    <row r="34" spans="1:7" hidden="1">
      <c r="A34" s="1326">
        <v>1</v>
      </c>
      <c r="B34" s="1323" t="s">
        <v>1127</v>
      </c>
      <c r="C34" s="1323"/>
      <c r="D34" s="1323"/>
      <c r="E34" s="3222"/>
      <c r="F34" s="3222"/>
      <c r="G34" s="3222"/>
    </row>
    <row r="35" spans="1:7" hidden="1">
      <c r="A35" s="1326">
        <v>2</v>
      </c>
      <c r="B35" s="1323" t="s">
        <v>1128</v>
      </c>
      <c r="C35" s="1323"/>
      <c r="D35" s="1323"/>
      <c r="E35" s="3222"/>
      <c r="F35" s="3222"/>
      <c r="G35" s="3222"/>
    </row>
    <row r="36" spans="1:7" hidden="1">
      <c r="A36" s="1326">
        <v>3</v>
      </c>
      <c r="B36" s="1323" t="s">
        <v>1129</v>
      </c>
      <c r="C36" s="1323"/>
      <c r="D36" s="1323"/>
      <c r="E36" s="3222"/>
      <c r="F36" s="3222"/>
      <c r="G36" s="3222"/>
    </row>
    <row r="37" spans="1:7" hidden="1">
      <c r="A37" s="1326">
        <v>4</v>
      </c>
      <c r="B37" s="1323" t="s">
        <v>1130</v>
      </c>
      <c r="C37" s="1323"/>
      <c r="D37" s="1323"/>
      <c r="E37" s="3222"/>
      <c r="F37" s="3222"/>
      <c r="G37" s="3222"/>
    </row>
    <row r="38" spans="1:7" hidden="1">
      <c r="A38" s="3223" t="s">
        <v>1131</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2519</v>
      </c>
      <c r="C1" s="1632" t="s">
        <v>2520</v>
      </c>
      <c r="D1" s="1619"/>
      <c r="E1" s="2579"/>
      <c r="F1" s="2580" t="s">
        <v>2521</v>
      </c>
      <c r="G1" s="1629" t="s">
        <v>2522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2523</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2524</v>
      </c>
      <c r="D3" s="399">
        <f>IF(D1="",'数据-汇总表'!E3,SUMIF('数据-汇总表'!$C19:$C33,D1,'数据-汇总表'!$E19:$E33))</f>
        <v>435.22</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1" t="s">
        <v>2525</v>
      </c>
      <c r="B4" s="402"/>
      <c r="C4" s="3244" t="s">
        <v>2526</v>
      </c>
      <c r="D4" s="3245"/>
      <c r="E4" s="3246" t="s">
        <v>2527</v>
      </c>
      <c r="F4" s="3247"/>
      <c r="G4" s="3244" t="s">
        <v>2528</v>
      </c>
      <c r="H4" s="3245"/>
      <c r="I4" s="3244" t="s">
        <v>2529</v>
      </c>
      <c r="J4" s="3245"/>
      <c r="K4" s="2592" t="s">
        <v>2530</v>
      </c>
      <c r="L4" s="1129"/>
      <c r="M4" s="1130"/>
      <c r="N4" s="1130"/>
      <c r="O4" s="1130"/>
      <c r="P4" s="3248" t="s">
        <v>2531</v>
      </c>
      <c r="Q4" s="3249"/>
      <c r="R4" s="3231" t="s">
        <v>2527</v>
      </c>
      <c r="S4" s="3232"/>
      <c r="T4" s="3231" t="s">
        <v>2528</v>
      </c>
      <c r="U4" s="3232"/>
      <c r="V4" s="3256" t="s">
        <v>2529</v>
      </c>
      <c r="W4" s="3256"/>
      <c r="X4" s="1811"/>
      <c r="Y4" s="3231" t="s">
        <v>2531</v>
      </c>
      <c r="Z4" s="3232"/>
      <c r="AA4" s="3226" t="s">
        <v>2527</v>
      </c>
      <c r="AB4" s="3226" t="s">
        <v>2528</v>
      </c>
      <c r="AC4" s="3226" t="s">
        <v>2529</v>
      </c>
    </row>
    <row r="5" spans="1:29" ht="15">
      <c r="A5" s="404"/>
      <c r="B5" s="405"/>
      <c r="C5" s="3237" t="s">
        <v>2532</v>
      </c>
      <c r="D5" s="3238"/>
      <c r="E5" s="3235" t="s">
        <v>2533</v>
      </c>
      <c r="F5" s="3236"/>
      <c r="G5" s="3237" t="s">
        <v>2534</v>
      </c>
      <c r="H5" s="3238"/>
      <c r="I5" s="3237" t="s">
        <v>2535</v>
      </c>
      <c r="J5" s="3238"/>
      <c r="K5" s="2593"/>
      <c r="L5" s="1129"/>
      <c r="M5" s="1130"/>
      <c r="N5" s="1130"/>
      <c r="O5" s="1130"/>
      <c r="P5" s="3250"/>
      <c r="Q5" s="3251"/>
      <c r="R5" s="3233"/>
      <c r="S5" s="3234"/>
      <c r="T5" s="3233"/>
      <c r="U5" s="3234"/>
      <c r="V5" s="3256"/>
      <c r="W5" s="3256"/>
      <c r="X5" s="1811"/>
      <c r="Y5" s="3233"/>
      <c r="Z5" s="3234"/>
      <c r="AA5" s="3227"/>
      <c r="AB5" s="3227"/>
      <c r="AC5" s="3227"/>
    </row>
    <row r="6" spans="1:29" ht="15.75" thickBot="1">
      <c r="A6" s="406"/>
      <c r="B6" s="407"/>
      <c r="C6" s="3239" t="s">
        <v>2536</v>
      </c>
      <c r="D6" s="3240"/>
      <c r="E6" s="3241" t="s">
        <v>2536</v>
      </c>
      <c r="F6" s="3242"/>
      <c r="G6" s="3239" t="s">
        <v>2536</v>
      </c>
      <c r="H6" s="3240"/>
      <c r="I6" s="3239" t="s">
        <v>2536</v>
      </c>
      <c r="J6" s="3240"/>
      <c r="K6" s="2593" t="s">
        <v>2537</v>
      </c>
      <c r="L6" s="1129"/>
      <c r="M6" s="1130"/>
      <c r="N6" s="1130"/>
      <c r="O6" s="1130"/>
      <c r="P6" s="3252"/>
      <c r="Q6" s="3253"/>
      <c r="R6" s="3233"/>
      <c r="S6" s="3234"/>
      <c r="T6" s="3254"/>
      <c r="U6" s="3255"/>
      <c r="V6" s="3256"/>
      <c r="W6" s="3256"/>
      <c r="X6" s="1811"/>
      <c r="Y6" s="3254"/>
      <c r="Z6" s="3255"/>
      <c r="AA6" s="3228"/>
      <c r="AB6" s="3228"/>
      <c r="AC6" s="3228"/>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229" t="s">
        <v>2539</v>
      </c>
      <c r="Q7" s="3257"/>
      <c r="R7" s="769" t="s">
        <v>23</v>
      </c>
      <c r="S7" s="770">
        <f t="shared" ref="S7:S15" si="0">F7</f>
        <v>0</v>
      </c>
      <c r="T7" s="769" t="s">
        <v>23</v>
      </c>
      <c r="U7" s="770">
        <f t="shared" ref="U7:U15" si="1">H7</f>
        <v>0</v>
      </c>
      <c r="V7" s="769" t="s">
        <v>23</v>
      </c>
      <c r="W7" s="770">
        <f t="shared" ref="W7:W15" si="2">J7</f>
        <v>0</v>
      </c>
      <c r="X7" s="771"/>
      <c r="Y7" s="3229" t="s">
        <v>2539</v>
      </c>
      <c r="Z7" s="3230"/>
      <c r="AA7" s="772" t="e">
        <f>D7/F7</f>
        <v>#DIV/0!</v>
      </c>
      <c r="AB7" s="772" t="e">
        <f>D7/H7</f>
        <v>#DIV/0!</v>
      </c>
      <c r="AC7" s="772" t="e">
        <f>D7/J7</f>
        <v>#DIV/0!</v>
      </c>
    </row>
    <row r="8" spans="1:29" s="117" customFormat="1" ht="15.7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229" t="s">
        <v>2542</v>
      </c>
      <c r="Q8" s="3230"/>
      <c r="R8" s="769" t="s">
        <v>23</v>
      </c>
      <c r="S8" s="770">
        <f t="shared" si="0"/>
        <v>0</v>
      </c>
      <c r="T8" s="769" t="s">
        <v>23</v>
      </c>
      <c r="U8" s="770">
        <f t="shared" si="1"/>
        <v>0</v>
      </c>
      <c r="V8" s="769" t="s">
        <v>23</v>
      </c>
      <c r="W8" s="770">
        <f t="shared" si="2"/>
        <v>0</v>
      </c>
      <c r="X8" s="771"/>
      <c r="Y8" s="3229" t="s">
        <v>2542</v>
      </c>
      <c r="Z8" s="3230"/>
      <c r="AA8" s="772" t="e">
        <f t="shared" ref="AA8:AA19" si="3">D8/F8</f>
        <v>#DIV/0!</v>
      </c>
      <c r="AB8" s="772" t="e">
        <f t="shared" ref="AB8:AB19" si="4">D8/H8</f>
        <v>#DIV/0!</v>
      </c>
      <c r="AC8" s="772"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43" t="s">
        <v>2545</v>
      </c>
      <c r="Q9" s="1793" t="str">
        <f t="shared" ref="Q9:Q15" si="6">B9</f>
        <v>用途</v>
      </c>
      <c r="R9" s="769" t="s">
        <v>17</v>
      </c>
      <c r="S9" s="770">
        <f t="shared" si="0"/>
        <v>100</v>
      </c>
      <c r="T9" s="769" t="s">
        <v>17</v>
      </c>
      <c r="U9" s="770">
        <f t="shared" si="1"/>
        <v>100</v>
      </c>
      <c r="V9" s="769" t="s">
        <v>17</v>
      </c>
      <c r="W9" s="770">
        <f t="shared" si="2"/>
        <v>100</v>
      </c>
      <c r="X9" s="771"/>
      <c r="Y9" s="3076"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3"/>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3"/>
      <c r="Q11" s="1793" t="str">
        <f t="shared" si="6"/>
        <v>容积率</v>
      </c>
      <c r="R11" s="769" t="s">
        <v>21</v>
      </c>
      <c r="S11" s="770" t="e">
        <f t="shared" si="0"/>
        <v>#N/A</v>
      </c>
      <c r="T11" s="769" t="s">
        <v>21</v>
      </c>
      <c r="U11" s="770" t="e">
        <f t="shared" si="1"/>
        <v>#N/A</v>
      </c>
      <c r="V11" s="769" t="s">
        <v>21</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43"/>
      <c r="Q12" s="1793">
        <f t="shared" si="6"/>
        <v>111</v>
      </c>
      <c r="R12" s="769" t="s">
        <v>21</v>
      </c>
      <c r="S12" s="770">
        <f t="shared" si="0"/>
        <v>100</v>
      </c>
      <c r="T12" s="769" t="s">
        <v>21</v>
      </c>
      <c r="U12" s="770">
        <f t="shared" si="1"/>
        <v>100</v>
      </c>
      <c r="V12" s="769" t="s">
        <v>21</v>
      </c>
      <c r="W12" s="770">
        <f t="shared" si="2"/>
        <v>100</v>
      </c>
      <c r="X12" s="771"/>
      <c r="Y12" s="3076"/>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43"/>
      <c r="Q13" s="1793">
        <f t="shared" si="6"/>
        <v>111</v>
      </c>
      <c r="R13" s="769" t="s">
        <v>21</v>
      </c>
      <c r="S13" s="770">
        <f t="shared" si="0"/>
        <v>100</v>
      </c>
      <c r="T13" s="769" t="s">
        <v>21</v>
      </c>
      <c r="U13" s="770">
        <f t="shared" si="1"/>
        <v>100</v>
      </c>
      <c r="V13" s="769" t="s">
        <v>21</v>
      </c>
      <c r="W13" s="770">
        <f t="shared" si="2"/>
        <v>100</v>
      </c>
      <c r="X13" s="771"/>
      <c r="Y13" s="3076"/>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43"/>
      <c r="Q14" s="1793">
        <f t="shared" si="6"/>
        <v>111</v>
      </c>
      <c r="R14" s="769" t="s">
        <v>21</v>
      </c>
      <c r="S14" s="770">
        <f t="shared" si="0"/>
        <v>100</v>
      </c>
      <c r="T14" s="769" t="s">
        <v>21</v>
      </c>
      <c r="U14" s="770">
        <f t="shared" si="1"/>
        <v>100</v>
      </c>
      <c r="V14" s="769" t="s">
        <v>21</v>
      </c>
      <c r="W14" s="770">
        <f t="shared" si="2"/>
        <v>100</v>
      </c>
      <c r="X14" s="771"/>
      <c r="Y14" s="3076"/>
      <c r="Z14" s="55">
        <f t="shared" si="7"/>
        <v>111</v>
      </c>
      <c r="AA14" s="772">
        <f t="shared" si="3"/>
        <v>1</v>
      </c>
      <c r="AB14" s="772">
        <f t="shared" si="4"/>
        <v>1</v>
      </c>
      <c r="AC14" s="772">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70" t="s">
        <v>2550</v>
      </c>
      <c r="Q15" s="1808" t="str">
        <f t="shared" si="6"/>
        <v>居住社区成熟度</v>
      </c>
      <c r="R15" s="773" t="s">
        <v>21</v>
      </c>
      <c r="S15" s="774">
        <f t="shared" si="0"/>
        <v>100</v>
      </c>
      <c r="T15" s="773" t="s">
        <v>21</v>
      </c>
      <c r="U15" s="774">
        <f t="shared" si="1"/>
        <v>100</v>
      </c>
      <c r="V15" s="773" t="s">
        <v>21</v>
      </c>
      <c r="W15" s="774">
        <f t="shared" si="2"/>
        <v>100</v>
      </c>
      <c r="X15" s="1811"/>
      <c r="Y15" s="3263" t="s">
        <v>2550</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9"/>
      <c r="M16" s="1130"/>
      <c r="N16" s="1130"/>
      <c r="O16" s="1130"/>
      <c r="P16" s="3271"/>
      <c r="Q16" s="1808"/>
      <c r="R16" s="773"/>
      <c r="S16" s="774"/>
      <c r="T16" s="773"/>
      <c r="U16" s="774"/>
      <c r="V16" s="773"/>
      <c r="W16" s="774"/>
      <c r="X16" s="1811"/>
      <c r="Y16" s="3264"/>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71"/>
      <c r="Q17" s="1808" t="str">
        <f>B17</f>
        <v>交通便捷度</v>
      </c>
      <c r="R17" s="773" t="s">
        <v>21</v>
      </c>
      <c r="S17" s="774">
        <f>F17</f>
        <v>100</v>
      </c>
      <c r="T17" s="773" t="s">
        <v>21</v>
      </c>
      <c r="U17" s="774">
        <f>H17</f>
        <v>100</v>
      </c>
      <c r="V17" s="773" t="s">
        <v>21</v>
      </c>
      <c r="W17" s="774">
        <f>J17</f>
        <v>100</v>
      </c>
      <c r="X17" s="1811"/>
      <c r="Y17" s="3264"/>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9"/>
      <c r="M18" s="1130"/>
      <c r="N18" s="1130"/>
      <c r="O18" s="1130"/>
      <c r="P18" s="3271"/>
      <c r="Q18" s="1808"/>
      <c r="R18" s="773"/>
      <c r="S18" s="774"/>
      <c r="T18" s="773"/>
      <c r="U18" s="774"/>
      <c r="V18" s="773"/>
      <c r="W18" s="774"/>
      <c r="X18" s="1811"/>
      <c r="Y18" s="3264"/>
      <c r="Z18" s="1812"/>
      <c r="AA18" s="1809">
        <v>1</v>
      </c>
      <c r="AB18" s="1809">
        <v>1</v>
      </c>
      <c r="AC18" s="1809">
        <v>1</v>
      </c>
    </row>
    <row r="19" spans="1:29" ht="242.25">
      <c r="A19" s="428"/>
      <c r="B19" s="451" t="s">
        <v>2085</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71"/>
      <c r="Q19" s="1808" t="str">
        <f>B19</f>
        <v>公共配套设施</v>
      </c>
      <c r="R19" s="773" t="s">
        <v>21</v>
      </c>
      <c r="S19" s="774">
        <f>F19</f>
        <v>100</v>
      </c>
      <c r="T19" s="773" t="s">
        <v>21</v>
      </c>
      <c r="U19" s="774">
        <f>H19</f>
        <v>100</v>
      </c>
      <c r="V19" s="773" t="s">
        <v>21</v>
      </c>
      <c r="W19" s="774">
        <f>J19</f>
        <v>100</v>
      </c>
      <c r="X19" s="1811"/>
      <c r="Y19" s="3264"/>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9"/>
      <c r="M20" s="1130"/>
      <c r="N20" s="1130"/>
      <c r="O20" s="1130"/>
      <c r="P20" s="3271"/>
      <c r="Q20" s="1808"/>
      <c r="R20" s="773"/>
      <c r="S20" s="774"/>
      <c r="T20" s="773"/>
      <c r="U20" s="774"/>
      <c r="V20" s="773"/>
      <c r="W20" s="774"/>
      <c r="X20" s="1811"/>
      <c r="Y20" s="3264"/>
      <c r="Z20" s="1812"/>
      <c r="AA20" s="1809">
        <v>1</v>
      </c>
      <c r="AB20" s="1809">
        <v>1</v>
      </c>
      <c r="AC20" s="1809">
        <v>1</v>
      </c>
    </row>
    <row r="21" spans="1:29" ht="28.5">
      <c r="A21" s="428"/>
      <c r="B21" s="1382" t="s">
        <v>2088</v>
      </c>
      <c r="C21" s="2603"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71"/>
      <c r="Q21" s="1808" t="str">
        <f>B21</f>
        <v>基础设施水平</v>
      </c>
      <c r="R21" s="773" t="s">
        <v>17</v>
      </c>
      <c r="S21" s="774">
        <f>F21</f>
        <v>100</v>
      </c>
      <c r="T21" s="773" t="s">
        <v>17</v>
      </c>
      <c r="U21" s="774">
        <f>H21</f>
        <v>100</v>
      </c>
      <c r="V21" s="773" t="s">
        <v>17</v>
      </c>
      <c r="W21" s="774">
        <f>J21</f>
        <v>100</v>
      </c>
      <c r="X21" s="1811"/>
      <c r="Y21" s="326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9"/>
      <c r="M22" s="1130"/>
      <c r="N22" s="1130"/>
      <c r="O22" s="1130"/>
      <c r="P22" s="3271"/>
      <c r="Q22" s="1808"/>
      <c r="R22" s="773"/>
      <c r="S22" s="774"/>
      <c r="T22" s="773"/>
      <c r="U22" s="774"/>
      <c r="V22" s="773"/>
      <c r="W22" s="774"/>
      <c r="X22" s="1811"/>
      <c r="Y22" s="3264"/>
      <c r="Z22" s="1812"/>
      <c r="AA22" s="1809">
        <v>1</v>
      </c>
      <c r="AB22" s="1809">
        <v>1</v>
      </c>
      <c r="AC22" s="1809">
        <v>1</v>
      </c>
    </row>
    <row r="23" spans="1:29" ht="199.5">
      <c r="A23" s="428"/>
      <c r="B23" s="451" t="s">
        <v>2092</v>
      </c>
      <c r="C23" s="2603"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71"/>
      <c r="Q23" s="1808" t="str">
        <f>B23</f>
        <v>自然及人文环境</v>
      </c>
      <c r="R23" s="773" t="s">
        <v>21</v>
      </c>
      <c r="S23" s="774">
        <f>F23</f>
        <v>100</v>
      </c>
      <c r="T23" s="773" t="s">
        <v>21</v>
      </c>
      <c r="U23" s="774">
        <f>H23</f>
        <v>100</v>
      </c>
      <c r="V23" s="773" t="s">
        <v>21</v>
      </c>
      <c r="W23" s="774">
        <f>J23</f>
        <v>100</v>
      </c>
      <c r="X23" s="1811"/>
      <c r="Y23" s="3264"/>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9"/>
      <c r="M24" s="1130"/>
      <c r="N24" s="1130"/>
      <c r="O24" s="1130"/>
      <c r="P24" s="3271"/>
      <c r="Q24" s="1808"/>
      <c r="R24" s="773"/>
      <c r="S24" s="774"/>
      <c r="T24" s="773"/>
      <c r="U24" s="774"/>
      <c r="V24" s="773"/>
      <c r="W24" s="774"/>
      <c r="X24" s="1811"/>
      <c r="Y24" s="3264"/>
      <c r="Z24" s="1812"/>
      <c r="AA24" s="1809">
        <v>1</v>
      </c>
      <c r="AB24" s="1809">
        <v>1</v>
      </c>
      <c r="AC24" s="1809">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7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64"/>
      <c r="Z25" s="1812" t="str">
        <f>Q25</f>
        <v>楼层-1</v>
      </c>
      <c r="AA25" s="1809">
        <f t="shared" ref="AA25:AA46" si="15">D25/F25</f>
        <v>1</v>
      </c>
      <c r="AB25" s="1809">
        <f t="shared" ref="AB25:AB46" si="16">D25/H25</f>
        <v>1</v>
      </c>
      <c r="AC25" s="1809">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71"/>
      <c r="Q26" s="1808" t="str">
        <f t="shared" si="11"/>
        <v>朝向</v>
      </c>
      <c r="R26" s="773" t="s">
        <v>21</v>
      </c>
      <c r="S26" s="774">
        <f t="shared" si="12"/>
        <v>100</v>
      </c>
      <c r="T26" s="773" t="s">
        <v>21</v>
      </c>
      <c r="U26" s="774">
        <f t="shared" si="13"/>
        <v>100</v>
      </c>
      <c r="V26" s="773" t="s">
        <v>21</v>
      </c>
      <c r="W26" s="774">
        <f t="shared" si="14"/>
        <v>100</v>
      </c>
      <c r="X26" s="1811"/>
      <c r="Y26" s="3264"/>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71"/>
      <c r="Q27" s="1793">
        <f t="shared" si="11"/>
        <v>111</v>
      </c>
      <c r="R27" s="769" t="s">
        <v>21</v>
      </c>
      <c r="S27" s="770">
        <f t="shared" si="12"/>
        <v>100</v>
      </c>
      <c r="T27" s="769" t="s">
        <v>21</v>
      </c>
      <c r="U27" s="770">
        <f t="shared" si="13"/>
        <v>100</v>
      </c>
      <c r="V27" s="769" t="s">
        <v>21</v>
      </c>
      <c r="W27" s="770">
        <f t="shared" si="14"/>
        <v>100</v>
      </c>
      <c r="X27" s="771"/>
      <c r="Y27" s="3264"/>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71"/>
      <c r="Q28" s="1808">
        <f t="shared" si="11"/>
        <v>111</v>
      </c>
      <c r="R28" s="773" t="s">
        <v>21</v>
      </c>
      <c r="S28" s="774">
        <f t="shared" si="12"/>
        <v>100</v>
      </c>
      <c r="T28" s="773" t="s">
        <v>21</v>
      </c>
      <c r="U28" s="774">
        <f t="shared" si="13"/>
        <v>100</v>
      </c>
      <c r="V28" s="773" t="s">
        <v>21</v>
      </c>
      <c r="W28" s="774">
        <f t="shared" si="14"/>
        <v>100</v>
      </c>
      <c r="X28" s="1811"/>
      <c r="Y28" s="3264"/>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71"/>
      <c r="Q29" s="1808">
        <f t="shared" si="11"/>
        <v>111</v>
      </c>
      <c r="R29" s="773" t="s">
        <v>21</v>
      </c>
      <c r="S29" s="774">
        <f t="shared" si="12"/>
        <v>100</v>
      </c>
      <c r="T29" s="773" t="s">
        <v>21</v>
      </c>
      <c r="U29" s="774">
        <f t="shared" si="13"/>
        <v>100</v>
      </c>
      <c r="V29" s="773" t="s">
        <v>21</v>
      </c>
      <c r="W29" s="774">
        <f t="shared" si="14"/>
        <v>100</v>
      </c>
      <c r="X29" s="1811"/>
      <c r="Y29" s="3264"/>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71"/>
      <c r="Q30" s="1808">
        <f t="shared" si="11"/>
        <v>111</v>
      </c>
      <c r="R30" s="773" t="s">
        <v>21</v>
      </c>
      <c r="S30" s="774">
        <f t="shared" si="12"/>
        <v>100</v>
      </c>
      <c r="T30" s="773" t="s">
        <v>21</v>
      </c>
      <c r="U30" s="774">
        <f t="shared" si="13"/>
        <v>100</v>
      </c>
      <c r="V30" s="773" t="s">
        <v>21</v>
      </c>
      <c r="W30" s="774">
        <f t="shared" si="14"/>
        <v>100</v>
      </c>
      <c r="X30" s="1811"/>
      <c r="Y30" s="3264"/>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71"/>
      <c r="Q31" s="1808">
        <f t="shared" si="11"/>
        <v>111</v>
      </c>
      <c r="R31" s="773" t="s">
        <v>21</v>
      </c>
      <c r="S31" s="774">
        <f t="shared" si="12"/>
        <v>100</v>
      </c>
      <c r="T31" s="773" t="s">
        <v>21</v>
      </c>
      <c r="U31" s="774">
        <f t="shared" si="13"/>
        <v>100</v>
      </c>
      <c r="V31" s="773" t="s">
        <v>21</v>
      </c>
      <c r="W31" s="774">
        <f t="shared" si="14"/>
        <v>100</v>
      </c>
      <c r="X31" s="1811"/>
      <c r="Y31" s="3264"/>
      <c r="Z31" s="1812">
        <f t="shared" si="18"/>
        <v>111</v>
      </c>
      <c r="AA31" s="1809">
        <f t="shared" si="15"/>
        <v>1</v>
      </c>
      <c r="AB31" s="1809">
        <f t="shared" si="16"/>
        <v>1</v>
      </c>
      <c r="AC31" s="1809">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65" t="s">
        <v>2555</v>
      </c>
      <c r="Q32" s="1808" t="str">
        <f t="shared" si="11"/>
        <v>建筑类型</v>
      </c>
      <c r="R32" s="773" t="s">
        <v>21</v>
      </c>
      <c r="S32" s="774">
        <f t="shared" si="12"/>
        <v>100</v>
      </c>
      <c r="T32" s="773" t="s">
        <v>21</v>
      </c>
      <c r="U32" s="774">
        <f t="shared" si="13"/>
        <v>100</v>
      </c>
      <c r="V32" s="773" t="s">
        <v>21</v>
      </c>
      <c r="W32" s="774">
        <f t="shared" si="14"/>
        <v>100</v>
      </c>
      <c r="X32" s="1811"/>
      <c r="Y32" s="3268" t="s">
        <v>2555</v>
      </c>
      <c r="Z32" s="1812" t="str">
        <f t="shared" si="18"/>
        <v>建筑类型</v>
      </c>
      <c r="AA32" s="1809">
        <f t="shared" si="15"/>
        <v>1</v>
      </c>
      <c r="AB32" s="1809">
        <f t="shared" si="16"/>
        <v>1</v>
      </c>
      <c r="AC32" s="1809">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66"/>
      <c r="Q33" s="775" t="str">
        <f t="shared" si="11"/>
        <v>项目建筑规模</v>
      </c>
      <c r="R33" s="776" t="s">
        <v>21</v>
      </c>
      <c r="S33" s="777" t="e">
        <f t="shared" si="12"/>
        <v>#N/A</v>
      </c>
      <c r="T33" s="776" t="s">
        <v>21</v>
      </c>
      <c r="U33" s="777" t="e">
        <f t="shared" si="13"/>
        <v>#N/A</v>
      </c>
      <c r="V33" s="776" t="s">
        <v>21</v>
      </c>
      <c r="W33" s="777" t="e">
        <f t="shared" si="14"/>
        <v>#N/A</v>
      </c>
      <c r="X33" s="778"/>
      <c r="Y33" s="3268"/>
      <c r="Z33" s="779" t="str">
        <f t="shared" si="18"/>
        <v>项目建筑规模</v>
      </c>
      <c r="AA33" s="1809" t="e">
        <f t="shared" si="15"/>
        <v>#N/A</v>
      </c>
      <c r="AB33" s="1809" t="e">
        <f t="shared" si="16"/>
        <v>#N/A</v>
      </c>
      <c r="AC33" s="1809"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66"/>
      <c r="Q34" s="1808" t="str">
        <f t="shared" si="11"/>
        <v>建筑结构</v>
      </c>
      <c r="R34" s="773" t="s">
        <v>21</v>
      </c>
      <c r="S34" s="774">
        <f t="shared" si="12"/>
        <v>100</v>
      </c>
      <c r="T34" s="773" t="s">
        <v>21</v>
      </c>
      <c r="U34" s="774">
        <f t="shared" si="13"/>
        <v>100</v>
      </c>
      <c r="V34" s="773" t="s">
        <v>21</v>
      </c>
      <c r="W34" s="774">
        <f t="shared" si="14"/>
        <v>100</v>
      </c>
      <c r="X34" s="1811"/>
      <c r="Y34" s="3268"/>
      <c r="Z34" s="1812" t="str">
        <f t="shared" si="18"/>
        <v>建筑结构</v>
      </c>
      <c r="AA34" s="1809">
        <f t="shared" si="15"/>
        <v>1</v>
      </c>
      <c r="AB34" s="1809">
        <f t="shared" si="16"/>
        <v>1</v>
      </c>
      <c r="AC34" s="1809">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66"/>
      <c r="Q35" s="1808" t="str">
        <f t="shared" si="11"/>
        <v>建筑品质</v>
      </c>
      <c r="R35" s="773" t="s">
        <v>21</v>
      </c>
      <c r="S35" s="774">
        <f t="shared" si="12"/>
        <v>100</v>
      </c>
      <c r="T35" s="773" t="s">
        <v>21</v>
      </c>
      <c r="U35" s="774">
        <f t="shared" si="13"/>
        <v>100</v>
      </c>
      <c r="V35" s="773" t="s">
        <v>21</v>
      </c>
      <c r="W35" s="774">
        <f t="shared" si="14"/>
        <v>100</v>
      </c>
      <c r="X35" s="1811"/>
      <c r="Y35" s="3268"/>
      <c r="Z35" s="1812" t="str">
        <f t="shared" si="18"/>
        <v>建筑品质</v>
      </c>
      <c r="AA35" s="1809">
        <f t="shared" si="15"/>
        <v>1</v>
      </c>
      <c r="AB35" s="1809">
        <f t="shared" si="16"/>
        <v>1</v>
      </c>
      <c r="AC35" s="1809">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66"/>
      <c r="Q36" s="1808" t="str">
        <f t="shared" si="11"/>
        <v>公共部分装修</v>
      </c>
      <c r="R36" s="773" t="s">
        <v>21</v>
      </c>
      <c r="S36" s="774">
        <f t="shared" si="12"/>
        <v>100</v>
      </c>
      <c r="T36" s="773" t="s">
        <v>21</v>
      </c>
      <c r="U36" s="774">
        <f t="shared" si="13"/>
        <v>100</v>
      </c>
      <c r="V36" s="773" t="s">
        <v>21</v>
      </c>
      <c r="W36" s="774">
        <f t="shared" si="14"/>
        <v>100</v>
      </c>
      <c r="X36" s="1811"/>
      <c r="Y36" s="3268"/>
      <c r="Z36" s="1812" t="str">
        <f t="shared" si="18"/>
        <v>公共部分装修</v>
      </c>
      <c r="AA36" s="1809">
        <f t="shared" si="15"/>
        <v>1</v>
      </c>
      <c r="AB36" s="1809">
        <f t="shared" si="16"/>
        <v>1</v>
      </c>
      <c r="AC36" s="1809">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6"/>
      <c r="Q37" s="1793" t="str">
        <f t="shared" si="11"/>
        <v>成新度</v>
      </c>
      <c r="R37" s="769" t="s">
        <v>21</v>
      </c>
      <c r="S37" s="770" t="e">
        <f t="shared" si="12"/>
        <v>#N/A</v>
      </c>
      <c r="T37" s="769" t="s">
        <v>21</v>
      </c>
      <c r="U37" s="770" t="e">
        <f t="shared" si="13"/>
        <v>#N/A</v>
      </c>
      <c r="V37" s="769" t="s">
        <v>21</v>
      </c>
      <c r="W37" s="770" t="e">
        <f t="shared" si="14"/>
        <v>#N/A</v>
      </c>
      <c r="X37" s="771"/>
      <c r="Y37" s="3268"/>
      <c r="Z37" s="55" t="str">
        <f t="shared" si="18"/>
        <v>成新度</v>
      </c>
      <c r="AA37" s="772" t="e">
        <f t="shared" si="15"/>
        <v>#N/A</v>
      </c>
      <c r="AB37" s="772" t="e">
        <f t="shared" si="16"/>
        <v>#N/A</v>
      </c>
      <c r="AC37" s="772"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66" t="s">
        <v>2555</v>
      </c>
      <c r="Q38" s="1808" t="str">
        <f t="shared" si="11"/>
        <v>物业管理</v>
      </c>
      <c r="R38" s="773" t="s">
        <v>21</v>
      </c>
      <c r="S38" s="774">
        <f t="shared" si="12"/>
        <v>100</v>
      </c>
      <c r="T38" s="773" t="s">
        <v>21</v>
      </c>
      <c r="U38" s="774">
        <f t="shared" si="13"/>
        <v>100</v>
      </c>
      <c r="V38" s="773" t="s">
        <v>21</v>
      </c>
      <c r="W38" s="774">
        <f t="shared" si="14"/>
        <v>100</v>
      </c>
      <c r="X38" s="1811"/>
      <c r="Y38" s="3268" t="s">
        <v>2555</v>
      </c>
      <c r="Z38" s="1812" t="str">
        <f t="shared" si="18"/>
        <v>物业管理</v>
      </c>
      <c r="AA38" s="1809">
        <f t="shared" si="15"/>
        <v>1</v>
      </c>
      <c r="AB38" s="1809">
        <f t="shared" si="16"/>
        <v>1</v>
      </c>
      <c r="AC38" s="1809">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66"/>
      <c r="Q39" s="1808" t="str">
        <f t="shared" si="11"/>
        <v>市政基础设施</v>
      </c>
      <c r="R39" s="773" t="s">
        <v>21</v>
      </c>
      <c r="S39" s="774">
        <f t="shared" si="12"/>
        <v>100</v>
      </c>
      <c r="T39" s="773" t="s">
        <v>21</v>
      </c>
      <c r="U39" s="774">
        <f t="shared" si="13"/>
        <v>100</v>
      </c>
      <c r="V39" s="773" t="s">
        <v>21</v>
      </c>
      <c r="W39" s="774">
        <f t="shared" si="14"/>
        <v>100</v>
      </c>
      <c r="X39" s="1811"/>
      <c r="Y39" s="3268"/>
      <c r="Z39" s="1812" t="str">
        <f t="shared" si="18"/>
        <v>市政基础设施</v>
      </c>
      <c r="AA39" s="1809">
        <f t="shared" si="15"/>
        <v>1</v>
      </c>
      <c r="AB39" s="1809">
        <f t="shared" si="16"/>
        <v>1</v>
      </c>
      <c r="AC39" s="1809">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66"/>
      <c r="Q40" s="1808" t="str">
        <f t="shared" si="11"/>
        <v>房型</v>
      </c>
      <c r="R40" s="773" t="s">
        <v>21</v>
      </c>
      <c r="S40" s="774">
        <f t="shared" si="12"/>
        <v>100</v>
      </c>
      <c r="T40" s="773" t="s">
        <v>21</v>
      </c>
      <c r="U40" s="774">
        <f t="shared" si="13"/>
        <v>100</v>
      </c>
      <c r="V40" s="773" t="s">
        <v>21</v>
      </c>
      <c r="W40" s="774">
        <f t="shared" si="14"/>
        <v>100</v>
      </c>
      <c r="X40" s="1811"/>
      <c r="Y40" s="3268"/>
      <c r="Z40" s="1812" t="str">
        <f t="shared" si="18"/>
        <v>房型</v>
      </c>
      <c r="AA40" s="1809">
        <f t="shared" si="15"/>
        <v>1</v>
      </c>
      <c r="AB40" s="1809">
        <f t="shared" si="16"/>
        <v>1</v>
      </c>
      <c r="AC40" s="1809">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66"/>
      <c r="Q41" s="775" t="str">
        <f t="shared" si="11"/>
        <v>单套/主力户型建筑面积</v>
      </c>
      <c r="R41" s="776" t="s">
        <v>21</v>
      </c>
      <c r="S41" s="777">
        <f t="shared" si="12"/>
        <v>100</v>
      </c>
      <c r="T41" s="776" t="s">
        <v>21</v>
      </c>
      <c r="U41" s="777">
        <f t="shared" si="13"/>
        <v>100</v>
      </c>
      <c r="V41" s="776" t="s">
        <v>21</v>
      </c>
      <c r="W41" s="777">
        <f t="shared" si="14"/>
        <v>100</v>
      </c>
      <c r="X41" s="778"/>
      <c r="Y41" s="3268"/>
      <c r="Z41" s="779" t="str">
        <f t="shared" si="18"/>
        <v>单套/主力户型建筑面积</v>
      </c>
      <c r="AA41" s="1809">
        <f t="shared" si="15"/>
        <v>1</v>
      </c>
      <c r="AB41" s="1809">
        <f t="shared" si="16"/>
        <v>1</v>
      </c>
      <c r="AC41" s="1809">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66"/>
      <c r="Q42" s="1808" t="str">
        <f t="shared" si="11"/>
        <v>内部装修</v>
      </c>
      <c r="R42" s="773" t="s">
        <v>21</v>
      </c>
      <c r="S42" s="774">
        <f t="shared" si="12"/>
        <v>100</v>
      </c>
      <c r="T42" s="773" t="s">
        <v>21</v>
      </c>
      <c r="U42" s="774">
        <f t="shared" si="13"/>
        <v>100</v>
      </c>
      <c r="V42" s="773" t="s">
        <v>21</v>
      </c>
      <c r="W42" s="774">
        <f t="shared" si="14"/>
        <v>100</v>
      </c>
      <c r="X42" s="1811"/>
      <c r="Y42" s="3268"/>
      <c r="Z42" s="1812" t="str">
        <f t="shared" si="18"/>
        <v>内部装修</v>
      </c>
      <c r="AA42" s="1809">
        <f t="shared" si="15"/>
        <v>1</v>
      </c>
      <c r="AB42" s="1809">
        <f t="shared" si="16"/>
        <v>1</v>
      </c>
      <c r="AC42" s="1809">
        <f t="shared" si="17"/>
        <v>1</v>
      </c>
    </row>
    <row r="43" spans="1:29" ht="15">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66"/>
      <c r="Q43" s="1808" t="str">
        <f t="shared" si="11"/>
        <v>内部装修维护情况</v>
      </c>
      <c r="R43" s="773" t="s">
        <v>21</v>
      </c>
      <c r="S43" s="774">
        <f t="shared" si="12"/>
        <v>100</v>
      </c>
      <c r="T43" s="773" t="s">
        <v>21</v>
      </c>
      <c r="U43" s="774">
        <f t="shared" si="13"/>
        <v>100</v>
      </c>
      <c r="V43" s="773" t="s">
        <v>21</v>
      </c>
      <c r="W43" s="774">
        <f t="shared" si="14"/>
        <v>100</v>
      </c>
      <c r="X43" s="1811"/>
      <c r="Y43" s="3268"/>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66"/>
      <c r="Q44" s="1793">
        <f t="shared" si="11"/>
        <v>111</v>
      </c>
      <c r="R44" s="769" t="s">
        <v>21</v>
      </c>
      <c r="S44" s="770">
        <f t="shared" si="12"/>
        <v>100</v>
      </c>
      <c r="T44" s="769" t="s">
        <v>21</v>
      </c>
      <c r="U44" s="770">
        <f t="shared" si="13"/>
        <v>100</v>
      </c>
      <c r="V44" s="769" t="s">
        <v>21</v>
      </c>
      <c r="W44" s="770">
        <f t="shared" si="14"/>
        <v>100</v>
      </c>
      <c r="X44" s="771"/>
      <c r="Y44" s="3268"/>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66"/>
      <c r="Q45" s="1808">
        <f t="shared" si="11"/>
        <v>111</v>
      </c>
      <c r="R45" s="773" t="s">
        <v>21</v>
      </c>
      <c r="S45" s="774">
        <f t="shared" si="12"/>
        <v>100</v>
      </c>
      <c r="T45" s="773" t="s">
        <v>21</v>
      </c>
      <c r="U45" s="774">
        <f t="shared" si="13"/>
        <v>100</v>
      </c>
      <c r="V45" s="773" t="s">
        <v>21</v>
      </c>
      <c r="W45" s="774">
        <f t="shared" si="14"/>
        <v>100</v>
      </c>
      <c r="X45" s="1811"/>
      <c r="Y45" s="3268"/>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67"/>
      <c r="Q46" s="1808">
        <f t="shared" si="11"/>
        <v>111</v>
      </c>
      <c r="R46" s="773" t="s">
        <v>20</v>
      </c>
      <c r="S46" s="774">
        <f t="shared" si="12"/>
        <v>100</v>
      </c>
      <c r="T46" s="773" t="s">
        <v>20</v>
      </c>
      <c r="U46" s="774">
        <f t="shared" si="13"/>
        <v>100</v>
      </c>
      <c r="V46" s="773" t="s">
        <v>20</v>
      </c>
      <c r="W46" s="774">
        <f t="shared" si="14"/>
        <v>100</v>
      </c>
      <c r="X46" s="1811"/>
      <c r="Y46" s="3269"/>
      <c r="Z46" s="1812">
        <f t="shared" si="18"/>
        <v>111</v>
      </c>
      <c r="AA46" s="1809">
        <f t="shared" si="15"/>
        <v>1</v>
      </c>
      <c r="AB46" s="1809">
        <f t="shared" si="16"/>
        <v>1</v>
      </c>
      <c r="AC46" s="1809">
        <f t="shared" si="17"/>
        <v>1</v>
      </c>
    </row>
    <row r="47" spans="1:29" ht="15">
      <c r="A47" s="479" t="s">
        <v>2567</v>
      </c>
      <c r="B47" s="480"/>
      <c r="C47" s="1405" t="s">
        <v>19</v>
      </c>
      <c r="D47" s="1406"/>
      <c r="E47" s="1407"/>
      <c r="F47" s="1408"/>
      <c r="G47" s="1409"/>
      <c r="H47" s="1410"/>
      <c r="I47" s="1407"/>
      <c r="J47" s="1410"/>
      <c r="K47" s="2617"/>
      <c r="L47" s="1142"/>
      <c r="M47" s="1143"/>
      <c r="N47" s="1130"/>
      <c r="O47" s="1143"/>
      <c r="P47" s="3261" t="str">
        <f>A47</f>
        <v>成交单价（元/平方米）</v>
      </c>
      <c r="Q47" s="3261"/>
      <c r="R47" s="3262">
        <f>E47</f>
        <v>0</v>
      </c>
      <c r="S47" s="3262"/>
      <c r="T47" s="3262">
        <f>G47</f>
        <v>0</v>
      </c>
      <c r="U47" s="3262"/>
      <c r="V47" s="3262">
        <f>I47</f>
        <v>0</v>
      </c>
      <c r="W47" s="3262"/>
      <c r="X47" s="758"/>
      <c r="Y47" s="780"/>
      <c r="Z47" s="758"/>
      <c r="AA47" s="758"/>
      <c r="AB47" s="758"/>
      <c r="AC47" s="758"/>
    </row>
    <row r="48" spans="1:29" ht="15.75" thickBot="1">
      <c r="A48" s="486" t="s">
        <v>2568</v>
      </c>
      <c r="B48" s="487"/>
      <c r="C48" s="1411" t="e">
        <f>R49</f>
        <v>#DIV/0!</v>
      </c>
      <c r="D48" s="1412"/>
      <c r="E48" s="1413" t="e">
        <f>R48</f>
        <v>#DIV/0!</v>
      </c>
      <c r="F48" s="1413"/>
      <c r="G48" s="1411" t="e">
        <f>T48</f>
        <v>#DIV/0!</v>
      </c>
      <c r="H48" s="1412"/>
      <c r="I48" s="1413" t="e">
        <f>V48</f>
        <v>#DIV/0!</v>
      </c>
      <c r="J48" s="1412"/>
      <c r="K48" s="2618"/>
      <c r="L48" s="1142"/>
      <c r="M48" s="1143"/>
      <c r="N48" s="1143"/>
      <c r="O48" s="1143"/>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8"/>
      <c r="Y48" s="758"/>
      <c r="Z48" s="758"/>
      <c r="AA48" s="758"/>
      <c r="AB48" s="758"/>
      <c r="AC48" s="758"/>
    </row>
    <row r="49" spans="1:29" ht="15.75" thickBot="1">
      <c r="A49" s="492" t="s">
        <v>2569</v>
      </c>
      <c r="B49" s="493"/>
      <c r="C49" s="1414" t="e">
        <f>R49</f>
        <v>#DIV/0!</v>
      </c>
      <c r="D49" s="1415"/>
      <c r="E49" s="1415"/>
      <c r="F49" s="1415"/>
      <c r="G49" s="1415"/>
      <c r="H49" s="1415"/>
      <c r="I49" s="1415"/>
      <c r="J49" s="1415"/>
      <c r="K49" s="2619"/>
      <c r="L49" s="1142"/>
      <c r="M49" s="1143"/>
      <c r="N49" s="1143"/>
      <c r="O49" s="1143"/>
      <c r="P49" s="3258" t="str">
        <f>A49</f>
        <v>估价对象XX用房的比较价值（楼面单价，元/平方米）</v>
      </c>
      <c r="Q49" s="3259"/>
      <c r="R49" s="3260" t="e">
        <f>IF(F1="售价",ROUND(AVERAGE(R48:V48),0),ROUND(AVERAGE(R48:V48),1))</f>
        <v>#DIV/0!</v>
      </c>
      <c r="S49" s="3260"/>
      <c r="T49" s="3260"/>
      <c r="U49" s="3260"/>
      <c r="V49" s="3260"/>
      <c r="W49" s="326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2573</v>
      </c>
      <c r="B57" s="758"/>
      <c r="C57" s="763"/>
      <c r="D57" s="763"/>
      <c r="E57" s="763"/>
      <c r="F57" s="764"/>
      <c r="G57" s="764"/>
      <c r="H57" s="763"/>
      <c r="I57" s="763"/>
      <c r="J57" s="763"/>
      <c r="K57" s="1159"/>
      <c r="L57" s="1160"/>
      <c r="M57" s="1158"/>
      <c r="N57" s="1158"/>
      <c r="O57" s="1158"/>
      <c r="P57" s="2622"/>
      <c r="Q57" s="504"/>
    </row>
    <row r="58" spans="1:29" s="508" customFormat="1" ht="15">
      <c r="A58" s="505" t="s">
        <v>2574</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2576</v>
      </c>
      <c r="B61" s="510"/>
      <c r="C61" s="522" t="s">
        <v>2577</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60"/>
      <c r="E73" s="560"/>
      <c r="F73" s="560"/>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2088</v>
      </c>
      <c r="C82" s="539" t="s">
        <v>2594</v>
      </c>
      <c r="D82" s="539" t="s">
        <v>2595</v>
      </c>
      <c r="E82" s="539" t="s">
        <v>2596</v>
      </c>
      <c r="F82" s="539" t="s">
        <v>2597</v>
      </c>
      <c r="G82" s="539" t="s">
        <v>2598</v>
      </c>
      <c r="H82" s="539"/>
      <c r="I82" s="539"/>
      <c r="J82" s="539"/>
      <c r="K82" s="539"/>
      <c r="L82" s="539"/>
      <c r="M82" s="1380"/>
      <c r="N82" s="1152"/>
      <c r="O82" s="1152"/>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2600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75" thickTop="1">
      <c r="A88" s="579"/>
      <c r="B88" s="538" t="s">
        <v>2601</v>
      </c>
      <c r="C88" s="554"/>
      <c r="D88" s="554"/>
      <c r="E88" s="554"/>
      <c r="F88" s="2631"/>
      <c r="G88" s="554"/>
      <c r="H88" s="554"/>
      <c r="I88" s="554"/>
      <c r="J88" s="554"/>
      <c r="K88" s="554"/>
      <c r="L88" s="554"/>
      <c r="M88" s="581"/>
      <c r="N88" s="1150"/>
      <c r="O88" s="1150"/>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5.75" thickTop="1">
      <c r="A90" s="553"/>
      <c r="B90" s="538">
        <f>B27</f>
        <v>111</v>
      </c>
      <c r="C90" s="554"/>
      <c r="D90" s="554"/>
      <c r="E90" s="554"/>
      <c r="F90" s="554"/>
      <c r="G90" s="554"/>
      <c r="H90" s="555"/>
      <c r="I90" s="555"/>
      <c r="J90" s="555"/>
      <c r="K90" s="555"/>
      <c r="L90" s="556"/>
      <c r="M90" s="557"/>
      <c r="N90" s="1153"/>
      <c r="O90" s="1153"/>
      <c r="P90" s="2627"/>
      <c r="Q90" s="559"/>
    </row>
    <row r="91" spans="1:17" s="471" customFormat="1" ht="15.75" thickBot="1">
      <c r="A91" s="553"/>
      <c r="B91" s="543"/>
      <c r="C91" s="560"/>
      <c r="D91" s="560"/>
      <c r="E91" s="560"/>
      <c r="F91" s="560"/>
      <c r="G91" s="560"/>
      <c r="H91" s="562"/>
      <c r="I91" s="562"/>
      <c r="J91" s="562"/>
      <c r="K91" s="562"/>
      <c r="L91" s="562"/>
      <c r="M91" s="563"/>
      <c r="N91" s="1153"/>
      <c r="O91" s="1153"/>
      <c r="P91" s="2627"/>
      <c r="Q91" s="559"/>
    </row>
    <row r="92" spans="1:17" ht="15.75" thickTop="1">
      <c r="A92" s="534"/>
      <c r="B92" s="538">
        <f>B28</f>
        <v>111</v>
      </c>
      <c r="C92" s="554"/>
      <c r="D92" s="554"/>
      <c r="E92" s="554"/>
      <c r="F92" s="554"/>
      <c r="G92" s="583"/>
      <c r="H92" s="583"/>
      <c r="I92" s="583"/>
      <c r="J92" s="583"/>
      <c r="K92" s="584"/>
      <c r="L92" s="585"/>
      <c r="M92" s="586"/>
      <c r="N92" s="1151"/>
      <c r="O92" s="1151"/>
      <c r="P92" s="2626"/>
      <c r="Q92" s="504"/>
    </row>
    <row r="93" spans="1:17" ht="15.75" thickBot="1">
      <c r="A93" s="534"/>
      <c r="B93" s="543"/>
      <c r="C93" s="560"/>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60"/>
      <c r="E95" s="560"/>
      <c r="F95" s="560"/>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70"/>
      <c r="D97" s="570"/>
      <c r="E97" s="570"/>
      <c r="F97" s="570"/>
      <c r="G97" s="536"/>
      <c r="H97" s="536"/>
      <c r="I97" s="536"/>
      <c r="J97" s="536"/>
      <c r="K97" s="536"/>
      <c r="L97" s="536"/>
      <c r="M97" s="537"/>
      <c r="N97" s="1152"/>
      <c r="O97" s="1152"/>
      <c r="P97" s="2626"/>
      <c r="Q97" s="504"/>
    </row>
    <row r="98" spans="1:17" ht="15.75" thickTop="1">
      <c r="A98" s="534"/>
      <c r="B98" s="546">
        <f>B31</f>
        <v>111</v>
      </c>
      <c r="C98" s="587"/>
      <c r="D98" s="587"/>
      <c r="E98" s="587"/>
      <c r="F98" s="587"/>
      <c r="G98" s="587"/>
      <c r="H98" s="587"/>
      <c r="I98" s="587"/>
      <c r="J98" s="587"/>
      <c r="K98" s="588"/>
      <c r="L98" s="589"/>
      <c r="M98" s="590"/>
      <c r="N98" s="1151"/>
      <c r="O98" s="1151"/>
      <c r="P98" s="2626"/>
      <c r="Q98" s="504"/>
    </row>
    <row r="99" spans="1:17" ht="15.75" thickBot="1">
      <c r="A99" s="2632"/>
      <c r="B99" s="569"/>
      <c r="C99" s="591"/>
      <c r="D99" s="591"/>
      <c r="E99" s="591"/>
      <c r="F99" s="591"/>
      <c r="G99" s="591"/>
      <c r="H99" s="591"/>
      <c r="I99" s="591"/>
      <c r="J99" s="591"/>
      <c r="K99" s="591"/>
      <c r="L99" s="591"/>
      <c r="M99" s="592"/>
      <c r="N99" s="1152"/>
      <c r="O99" s="1152"/>
      <c r="P99" s="2626"/>
      <c r="Q99" s="504"/>
    </row>
    <row r="100" spans="1:17">
      <c r="A100" s="527" t="s">
        <v>2553</v>
      </c>
      <c r="B100" s="528" t="s">
        <v>2602</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2605</v>
      </c>
      <c r="C107" s="583"/>
      <c r="D107" s="583"/>
      <c r="E107" s="583"/>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2606</v>
      </c>
      <c r="C109" s="554"/>
      <c r="D109" s="554"/>
      <c r="E109" s="554"/>
      <c r="F109" s="583"/>
      <c r="G109" s="583"/>
      <c r="H109" s="583"/>
      <c r="I109" s="583"/>
      <c r="J109" s="583"/>
      <c r="K109" s="584"/>
      <c r="L109" s="585"/>
      <c r="M109" s="586"/>
      <c r="N109" s="1151"/>
      <c r="O109" s="1151"/>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2607</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2608</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2609</v>
      </c>
      <c r="C118" s="583"/>
      <c r="D118" s="583"/>
      <c r="E118" s="583"/>
      <c r="F118" s="583"/>
      <c r="G118" s="583"/>
      <c r="H118" s="583"/>
      <c r="I118" s="583"/>
      <c r="J118" s="583"/>
      <c r="K118" s="584"/>
      <c r="L118" s="585"/>
      <c r="M118" s="586"/>
      <c r="N118" s="1151"/>
      <c r="O118" s="1151"/>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8.5" thickTop="1">
      <c r="A120" s="593"/>
      <c r="B120" s="538" t="s">
        <v>2564</v>
      </c>
      <c r="C120" s="554"/>
      <c r="D120" s="554"/>
      <c r="E120" s="554"/>
      <c r="F120" s="554"/>
      <c r="G120" s="554"/>
      <c r="H120" s="554"/>
      <c r="I120" s="554"/>
      <c r="J120" s="554"/>
      <c r="K120" s="554"/>
      <c r="L120" s="580"/>
      <c r="M120" s="581"/>
      <c r="N120" s="1153"/>
      <c r="O120" s="1153"/>
      <c r="P120" s="262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60"/>
      <c r="E129" s="560"/>
      <c r="F129" s="560"/>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3">
        <v>6</v>
      </c>
      <c r="C139" s="1084">
        <v>96</v>
      </c>
      <c r="D139" s="2644" t="s">
        <v>2621</v>
      </c>
      <c r="E139" s="1085">
        <v>100</v>
      </c>
      <c r="F139" s="1086">
        <v>102.5</v>
      </c>
      <c r="G139" s="2644" t="s">
        <v>2621</v>
      </c>
      <c r="H139" s="1087">
        <v>105</v>
      </c>
      <c r="I139" s="2645" t="s">
        <v>2622</v>
      </c>
      <c r="J139" s="1084">
        <v>20</v>
      </c>
      <c r="K139" s="1088">
        <f>C145/(J139-2)</f>
        <v>4.0555555555555553E-3</v>
      </c>
    </row>
    <row r="140" spans="1:17" ht="15">
      <c r="B140" s="1089">
        <v>5</v>
      </c>
      <c r="C140" s="1090">
        <v>100</v>
      </c>
      <c r="D140" s="1090"/>
      <c r="E140" s="1091"/>
      <c r="F140" s="1092">
        <v>102</v>
      </c>
      <c r="G140" s="1090"/>
      <c r="H140" s="1093"/>
      <c r="I140" s="2646" t="s">
        <v>2623</v>
      </c>
      <c r="J140" s="315">
        <f>ROUNDUP((J139-1)/2,0)</f>
        <v>10</v>
      </c>
      <c r="K140" s="1094">
        <v>100</v>
      </c>
    </row>
    <row r="141" spans="1:17" ht="15">
      <c r="B141" s="1089">
        <v>4</v>
      </c>
      <c r="C141" s="1090">
        <v>102</v>
      </c>
      <c r="D141" s="1090"/>
      <c r="E141" s="1091"/>
      <c r="F141" s="1092">
        <v>101.5</v>
      </c>
      <c r="G141" s="1090"/>
      <c r="H141" s="1093"/>
      <c r="I141" s="2646" t="s">
        <v>2624</v>
      </c>
      <c r="J141" s="315">
        <v>1</v>
      </c>
      <c r="K141" s="1095">
        <f>ROUND(100+(J141-J140)*K139*100,1)</f>
        <v>96.4</v>
      </c>
    </row>
    <row r="142" spans="1:17" ht="15">
      <c r="B142" s="1089">
        <v>3</v>
      </c>
      <c r="C142" s="1090">
        <v>103</v>
      </c>
      <c r="D142" s="1090"/>
      <c r="E142" s="1091"/>
      <c r="F142" s="1092">
        <v>101</v>
      </c>
      <c r="G142" s="1090"/>
      <c r="H142" s="1093"/>
      <c r="I142" s="2646" t="s">
        <v>2625</v>
      </c>
      <c r="J142" s="315">
        <f>J139</f>
        <v>20</v>
      </c>
      <c r="K142" s="1096">
        <v>95</v>
      </c>
    </row>
    <row r="143" spans="1:17" ht="15">
      <c r="B143" s="1089">
        <v>2</v>
      </c>
      <c r="C143" s="1090">
        <v>100</v>
      </c>
      <c r="D143" s="1090"/>
      <c r="E143" s="1091"/>
      <c r="F143" s="1092">
        <v>100.5</v>
      </c>
      <c r="G143" s="1090"/>
      <c r="H143" s="1093"/>
      <c r="I143" s="2646" t="s">
        <v>2626</v>
      </c>
      <c r="J143" s="1090">
        <v>15</v>
      </c>
      <c r="K143" s="1095">
        <f>ROUND(100+(J143-J140)*K139*100,1)</f>
        <v>102</v>
      </c>
    </row>
    <row r="144" spans="1:17" ht="15">
      <c r="B144" s="1089">
        <v>1</v>
      </c>
      <c r="C144" s="1090">
        <v>98</v>
      </c>
      <c r="D144" s="2647" t="s">
        <v>2627</v>
      </c>
      <c r="E144" s="1091">
        <v>102</v>
      </c>
      <c r="F144" s="1097">
        <v>100</v>
      </c>
      <c r="G144" s="2647" t="s">
        <v>2627</v>
      </c>
      <c r="H144" s="1093">
        <v>105</v>
      </c>
      <c r="I144" s="2646" t="s">
        <v>2626</v>
      </c>
      <c r="J144" s="1090">
        <v>18</v>
      </c>
      <c r="K144" s="1095">
        <f>ROUND(100+(J144-J140)*K139*100,1)</f>
        <v>103.2</v>
      </c>
    </row>
    <row r="145" spans="2:11" ht="15.75" thickBot="1">
      <c r="B145" s="2648" t="s">
        <v>2628</v>
      </c>
      <c r="C145" s="1098">
        <f>ROUND(MAX(C139:C144)/MIN(C139:C144)-1,3)</f>
        <v>7.2999999999999995E-2</v>
      </c>
      <c r="D145" s="1099"/>
      <c r="E145" s="1099"/>
      <c r="F145" s="2649" t="s">
        <v>2629</v>
      </c>
      <c r="G145" s="2650"/>
      <c r="H145" s="2651"/>
      <c r="I145" s="2652" t="s">
        <v>2626</v>
      </c>
      <c r="J145" s="1100">
        <v>8</v>
      </c>
      <c r="K145" s="1101">
        <f>ROUND(100+(J145-J140)*K139*100,1)</f>
        <v>99.2</v>
      </c>
    </row>
    <row r="147" spans="2:11">
      <c r="B147" s="2633" t="s">
        <v>2630</v>
      </c>
    </row>
    <row r="148" spans="2:11">
      <c r="B148" s="263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2632</v>
      </c>
      <c r="C1" s="1632" t="s">
        <v>2520</v>
      </c>
      <c r="D1" s="1619"/>
      <c r="E1" s="2653"/>
      <c r="F1" s="2580"/>
      <c r="G1" s="1629" t="s">
        <v>2633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2317</v>
      </c>
      <c r="B2" s="1416" t="e">
        <f ca="1">IF(C2="——",ROUND(C49*D3/10000,0),ROUND(C49*D3/10000,0)-D2)</f>
        <v>#DIV/0!</v>
      </c>
      <c r="C2" s="2582"/>
      <c r="D2" s="1363" t="e">
        <f ca="1">SUMIF(INDIRECT("'"&amp;F2&amp;"'"&amp;"!A:A"),"承租人权益价值",INDIRECT("'"&amp;F2&amp;"'"&amp;"!c:c"))</f>
        <v>#REF!</v>
      </c>
      <c r="E2" s="2583" t="s">
        <v>2318</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2319</v>
      </c>
      <c r="B3" s="609" t="e">
        <f ca="1">IF(C2="——",C49,ROUND(B2*10000/D3,0))</f>
        <v>#DIV/0!</v>
      </c>
      <c r="C3" s="400" t="s">
        <v>2634</v>
      </c>
      <c r="D3" s="399">
        <f>IF(D1="",'数据-汇总表'!E3,SUMIF('数据-汇总表'!$C19:$C33,D1,'数据-汇总表'!$E19:$E33))</f>
        <v>435.22</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1" t="s">
        <v>2635</v>
      </c>
      <c r="B4" s="402"/>
      <c r="C4" s="3244" t="s">
        <v>2636</v>
      </c>
      <c r="D4" s="3245"/>
      <c r="E4" s="3246" t="s">
        <v>2637</v>
      </c>
      <c r="F4" s="3247"/>
      <c r="G4" s="3244" t="s">
        <v>2638</v>
      </c>
      <c r="H4" s="3245"/>
      <c r="I4" s="3244" t="s">
        <v>2639</v>
      </c>
      <c r="J4" s="3245"/>
      <c r="K4" s="610" t="s">
        <v>2640</v>
      </c>
      <c r="L4" s="1129"/>
      <c r="M4" s="1130"/>
      <c r="N4" s="1130"/>
      <c r="O4" s="1130"/>
      <c r="P4" s="3248" t="s">
        <v>2641</v>
      </c>
      <c r="Q4" s="3249"/>
      <c r="R4" s="3231" t="s">
        <v>2637</v>
      </c>
      <c r="S4" s="3232"/>
      <c r="T4" s="3231" t="s">
        <v>2638</v>
      </c>
      <c r="U4" s="3232"/>
      <c r="V4" s="3256" t="s">
        <v>2639</v>
      </c>
      <c r="W4" s="3256"/>
      <c r="X4" s="1811"/>
      <c r="Y4" s="3231" t="s">
        <v>2641</v>
      </c>
      <c r="Z4" s="3232"/>
      <c r="AA4" s="3226" t="s">
        <v>2637</v>
      </c>
      <c r="AB4" s="3256" t="s">
        <v>2638</v>
      </c>
      <c r="AC4" s="3226" t="s">
        <v>2639</v>
      </c>
    </row>
    <row r="5" spans="1:29" ht="15">
      <c r="A5" s="404"/>
      <c r="B5" s="405"/>
      <c r="C5" s="3237" t="s">
        <v>2532</v>
      </c>
      <c r="D5" s="3238"/>
      <c r="E5" s="3235" t="s">
        <v>2533</v>
      </c>
      <c r="F5" s="3236"/>
      <c r="G5" s="3237" t="s">
        <v>2534</v>
      </c>
      <c r="H5" s="3238"/>
      <c r="I5" s="3237" t="s">
        <v>2535</v>
      </c>
      <c r="J5" s="3238"/>
      <c r="K5" s="610"/>
      <c r="L5" s="1129"/>
      <c r="M5" s="1130"/>
      <c r="N5" s="1130"/>
      <c r="O5" s="1130"/>
      <c r="P5" s="3250"/>
      <c r="Q5" s="3251"/>
      <c r="R5" s="3233"/>
      <c r="S5" s="3234"/>
      <c r="T5" s="3233"/>
      <c r="U5" s="3234"/>
      <c r="V5" s="3256"/>
      <c r="W5" s="3256"/>
      <c r="X5" s="1811"/>
      <c r="Y5" s="3233"/>
      <c r="Z5" s="3234"/>
      <c r="AA5" s="3227"/>
      <c r="AB5" s="3256"/>
      <c r="AC5" s="3227"/>
    </row>
    <row r="6" spans="1:29" ht="15.75" thickBot="1">
      <c r="A6" s="406"/>
      <c r="B6" s="407"/>
      <c r="C6" s="3239" t="s">
        <v>2536</v>
      </c>
      <c r="D6" s="3240"/>
      <c r="E6" s="3241" t="s">
        <v>2536</v>
      </c>
      <c r="F6" s="3242"/>
      <c r="G6" s="3239" t="s">
        <v>2536</v>
      </c>
      <c r="H6" s="3240"/>
      <c r="I6" s="3239" t="s">
        <v>2536</v>
      </c>
      <c r="J6" s="3240"/>
      <c r="K6" s="610" t="s">
        <v>2537</v>
      </c>
      <c r="L6" s="1129"/>
      <c r="M6" s="1130"/>
      <c r="N6" s="1130"/>
      <c r="O6" s="1130"/>
      <c r="P6" s="3252"/>
      <c r="Q6" s="3253"/>
      <c r="R6" s="3233"/>
      <c r="S6" s="3234"/>
      <c r="T6" s="3254"/>
      <c r="U6" s="3255"/>
      <c r="V6" s="3256"/>
      <c r="W6" s="3256"/>
      <c r="X6" s="1811"/>
      <c r="Y6" s="3254"/>
      <c r="Z6" s="3255"/>
      <c r="AA6" s="3228"/>
      <c r="AB6" s="3256"/>
      <c r="AC6" s="3228"/>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9" t="s">
        <v>2539</v>
      </c>
      <c r="Q7" s="3257"/>
      <c r="R7" s="769" t="s">
        <v>17</v>
      </c>
      <c r="S7" s="770">
        <f t="shared" ref="S7:S15" si="0">F7</f>
        <v>0</v>
      </c>
      <c r="T7" s="769" t="s">
        <v>17</v>
      </c>
      <c r="U7" s="770">
        <f t="shared" ref="U7:U15" si="1">H7</f>
        <v>0</v>
      </c>
      <c r="V7" s="769" t="s">
        <v>17</v>
      </c>
      <c r="W7" s="770">
        <f t="shared" ref="W7:W15" si="2">J7</f>
        <v>0</v>
      </c>
      <c r="X7" s="771"/>
      <c r="Y7" s="3229" t="s">
        <v>2539</v>
      </c>
      <c r="Z7" s="3230"/>
      <c r="AA7" s="772" t="e">
        <f>D7/F7</f>
        <v>#DIV/0!</v>
      </c>
      <c r="AB7" s="772" t="e">
        <f>D7/H7</f>
        <v>#DIV/0!</v>
      </c>
      <c r="AC7" s="772"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9" t="s">
        <v>2542</v>
      </c>
      <c r="Q8" s="3230"/>
      <c r="R8" s="769" t="s">
        <v>17</v>
      </c>
      <c r="S8" s="770">
        <f t="shared" si="0"/>
        <v>0</v>
      </c>
      <c r="T8" s="769" t="s">
        <v>17</v>
      </c>
      <c r="U8" s="770">
        <f t="shared" si="1"/>
        <v>0</v>
      </c>
      <c r="V8" s="769" t="s">
        <v>17</v>
      </c>
      <c r="W8" s="770">
        <f t="shared" si="2"/>
        <v>0</v>
      </c>
      <c r="X8" s="771"/>
      <c r="Y8" s="3229" t="s">
        <v>2542</v>
      </c>
      <c r="Z8" s="3230"/>
      <c r="AA8" s="772" t="e">
        <f t="shared" ref="AA8:AA46" si="3">D8/F8</f>
        <v>#DIV/0!</v>
      </c>
      <c r="AB8" s="772" t="e">
        <f t="shared" ref="AB8:AB46" si="4">D8/H8</f>
        <v>#DIV/0!</v>
      </c>
      <c r="AC8" s="772"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43" t="s">
        <v>2545</v>
      </c>
      <c r="Q9" s="1793" t="str">
        <f t="shared" ref="Q9:Q15" si="6">B9</f>
        <v>用途</v>
      </c>
      <c r="R9" s="769" t="s">
        <v>17</v>
      </c>
      <c r="S9" s="770">
        <f t="shared" si="0"/>
        <v>100</v>
      </c>
      <c r="T9" s="769" t="s">
        <v>17</v>
      </c>
      <c r="U9" s="770">
        <f t="shared" si="1"/>
        <v>100</v>
      </c>
      <c r="V9" s="769" t="s">
        <v>17</v>
      </c>
      <c r="W9" s="770">
        <f t="shared" si="2"/>
        <v>100</v>
      </c>
      <c r="X9" s="771"/>
      <c r="Y9" s="3076"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43"/>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43"/>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3"/>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3"/>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3"/>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15">
      <c r="A15" s="440" t="s">
        <v>2549</v>
      </c>
      <c r="B15" s="69" t="s">
        <v>2643</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70" t="s">
        <v>2550</v>
      </c>
      <c r="Q15" s="1808" t="str">
        <f t="shared" si="6"/>
        <v>商业繁华度</v>
      </c>
      <c r="R15" s="773" t="s">
        <v>17</v>
      </c>
      <c r="S15" s="774">
        <f t="shared" si="0"/>
        <v>100</v>
      </c>
      <c r="T15" s="773" t="s">
        <v>17</v>
      </c>
      <c r="U15" s="774">
        <f t="shared" si="1"/>
        <v>100</v>
      </c>
      <c r="V15" s="773" t="s">
        <v>17</v>
      </c>
      <c r="W15" s="774">
        <f t="shared" si="2"/>
        <v>100</v>
      </c>
      <c r="X15" s="1811"/>
      <c r="Y15" s="3263" t="s">
        <v>2550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71"/>
      <c r="Q16" s="1808"/>
      <c r="R16" s="773"/>
      <c r="S16" s="774"/>
      <c r="T16" s="773"/>
      <c r="U16" s="774"/>
      <c r="V16" s="773"/>
      <c r="W16" s="774"/>
      <c r="X16" s="1811"/>
      <c r="Y16" s="3264"/>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71"/>
      <c r="Q17" s="1808" t="str">
        <f>B17</f>
        <v>交通便捷度</v>
      </c>
      <c r="R17" s="773" t="s">
        <v>17</v>
      </c>
      <c r="S17" s="774">
        <f>F17</f>
        <v>100</v>
      </c>
      <c r="T17" s="773" t="s">
        <v>17</v>
      </c>
      <c r="U17" s="774">
        <f>H17</f>
        <v>100</v>
      </c>
      <c r="V17" s="773" t="s">
        <v>17</v>
      </c>
      <c r="W17" s="774">
        <f>J17</f>
        <v>100</v>
      </c>
      <c r="X17" s="1811"/>
      <c r="Y17" s="3264"/>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0"/>
      <c r="P18" s="3271"/>
      <c r="Q18" s="1808"/>
      <c r="R18" s="773"/>
      <c r="S18" s="774"/>
      <c r="T18" s="773"/>
      <c r="U18" s="774"/>
      <c r="V18" s="773"/>
      <c r="W18" s="774"/>
      <c r="X18" s="1811"/>
      <c r="Y18" s="3264"/>
      <c r="Z18" s="1812"/>
      <c r="AA18" s="1809">
        <v>1</v>
      </c>
      <c r="AB18" s="1809">
        <v>1</v>
      </c>
      <c r="AC18" s="1809">
        <v>1</v>
      </c>
    </row>
    <row r="19" spans="1:29" ht="242.25">
      <c r="A19" s="428"/>
      <c r="B19" s="451" t="s">
        <v>2644</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71"/>
      <c r="Q19" s="1808" t="str">
        <f>B19</f>
        <v>公共配套设施</v>
      </c>
      <c r="R19" s="773" t="s">
        <v>17</v>
      </c>
      <c r="S19" s="774">
        <f>F19</f>
        <v>100</v>
      </c>
      <c r="T19" s="773" t="s">
        <v>17</v>
      </c>
      <c r="U19" s="774">
        <f>H19</f>
        <v>100</v>
      </c>
      <c r="V19" s="773" t="s">
        <v>17</v>
      </c>
      <c r="W19" s="774">
        <f>J19</f>
        <v>100</v>
      </c>
      <c r="X19" s="1811"/>
      <c r="Y19" s="3264"/>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0"/>
      <c r="P20" s="3271"/>
      <c r="Q20" s="1808"/>
      <c r="R20" s="773"/>
      <c r="S20" s="774"/>
      <c r="T20" s="773"/>
      <c r="U20" s="774"/>
      <c r="V20" s="773"/>
      <c r="W20" s="774"/>
      <c r="X20" s="1811"/>
      <c r="Y20" s="3264"/>
      <c r="Z20" s="1812"/>
      <c r="AA20" s="1809">
        <v>1</v>
      </c>
      <c r="AB20" s="1809">
        <v>1</v>
      </c>
      <c r="AC20" s="1809">
        <v>1</v>
      </c>
    </row>
    <row r="21" spans="1:29" ht="28.5">
      <c r="A21" s="428"/>
      <c r="B21" s="1382" t="s">
        <v>2645</v>
      </c>
      <c r="C21" s="2603"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71"/>
      <c r="Q21" s="1808" t="str">
        <f>B21</f>
        <v>基础设施水平</v>
      </c>
      <c r="R21" s="773" t="s">
        <v>17</v>
      </c>
      <c r="S21" s="774">
        <f>F21</f>
        <v>100</v>
      </c>
      <c r="T21" s="773" t="s">
        <v>17</v>
      </c>
      <c r="U21" s="774">
        <f>H21</f>
        <v>100</v>
      </c>
      <c r="V21" s="773" t="s">
        <v>17</v>
      </c>
      <c r="W21" s="774">
        <f>J21</f>
        <v>100</v>
      </c>
      <c r="X21" s="1811"/>
      <c r="Y21" s="326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0"/>
      <c r="P22" s="3271"/>
      <c r="Q22" s="1808"/>
      <c r="R22" s="773"/>
      <c r="S22" s="774"/>
      <c r="T22" s="773"/>
      <c r="U22" s="774"/>
      <c r="V22" s="773"/>
      <c r="W22" s="774"/>
      <c r="X22" s="1811"/>
      <c r="Y22" s="3264"/>
      <c r="Z22" s="1812"/>
      <c r="AA22" s="1809">
        <v>1</v>
      </c>
      <c r="AB22" s="1809">
        <v>1</v>
      </c>
      <c r="AC22" s="1809">
        <v>1</v>
      </c>
    </row>
    <row r="23" spans="1:29" ht="199.5">
      <c r="A23" s="428"/>
      <c r="B23" s="451" t="s">
        <v>2092</v>
      </c>
      <c r="C23" s="266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71"/>
      <c r="Q23" s="1808" t="str">
        <f>B23</f>
        <v>自然及人文环境</v>
      </c>
      <c r="R23" s="773" t="s">
        <v>17</v>
      </c>
      <c r="S23" s="774">
        <f>F23</f>
        <v>100</v>
      </c>
      <c r="T23" s="773" t="s">
        <v>17</v>
      </c>
      <c r="U23" s="774">
        <f>H23</f>
        <v>100</v>
      </c>
      <c r="V23" s="773" t="s">
        <v>17</v>
      </c>
      <c r="W23" s="774">
        <f>J23</f>
        <v>100</v>
      </c>
      <c r="X23" s="1811"/>
      <c r="Y23" s="3264"/>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9"/>
      <c r="M24" s="1130"/>
      <c r="N24" s="1130"/>
      <c r="O24" s="1130"/>
      <c r="P24" s="3271"/>
      <c r="Q24" s="1808"/>
      <c r="R24" s="773"/>
      <c r="S24" s="774"/>
      <c r="T24" s="773"/>
      <c r="U24" s="774"/>
      <c r="V24" s="773"/>
      <c r="W24" s="774"/>
      <c r="X24" s="1811"/>
      <c r="Y24" s="3264"/>
      <c r="Z24" s="1812"/>
      <c r="AA24" s="1809">
        <v>1</v>
      </c>
      <c r="AB24" s="1809">
        <v>1</v>
      </c>
      <c r="AC24" s="1809">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71"/>
      <c r="Q25" s="1808" t="str">
        <f t="shared" ref="Q25:Q46" si="11">B25</f>
        <v>临街状况</v>
      </c>
      <c r="R25" s="773" t="s">
        <v>17</v>
      </c>
      <c r="S25" s="774">
        <f>F25</f>
        <v>100</v>
      </c>
      <c r="T25" s="773" t="s">
        <v>17</v>
      </c>
      <c r="U25" s="774">
        <f>H25</f>
        <v>100</v>
      </c>
      <c r="V25" s="773" t="s">
        <v>17</v>
      </c>
      <c r="W25" s="774">
        <f>J25</f>
        <v>100</v>
      </c>
      <c r="X25" s="1811"/>
      <c r="Y25" s="3264"/>
      <c r="Z25" s="1812" t="str">
        <f>Q25</f>
        <v>临街状况</v>
      </c>
      <c r="AA25" s="1809">
        <f t="shared" si="3"/>
        <v>1</v>
      </c>
      <c r="AB25" s="1809">
        <f t="shared" si="4"/>
        <v>1</v>
      </c>
      <c r="AC25" s="1809">
        <f t="shared" si="5"/>
        <v>1</v>
      </c>
    </row>
    <row r="26" spans="1:29" ht="15">
      <c r="A26" s="428"/>
      <c r="B26" s="1384"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71"/>
      <c r="Q26" s="1808" t="str">
        <f t="shared" si="11"/>
        <v>平面位置/可视性</v>
      </c>
      <c r="R26" s="773" t="s">
        <v>17</v>
      </c>
      <c r="S26" s="774">
        <f>F26</f>
        <v>100</v>
      </c>
      <c r="T26" s="773" t="s">
        <v>17</v>
      </c>
      <c r="U26" s="774">
        <f>H26</f>
        <v>100</v>
      </c>
      <c r="V26" s="773" t="s">
        <v>17</v>
      </c>
      <c r="W26" s="774">
        <f>J26</f>
        <v>100</v>
      </c>
      <c r="X26" s="1811"/>
      <c r="Y26" s="3264"/>
      <c r="Z26" s="1812" t="str">
        <f>Q26</f>
        <v>平面位置/可视性</v>
      </c>
      <c r="AA26" s="1809">
        <f t="shared" si="3"/>
        <v>1</v>
      </c>
      <c r="AB26" s="1809">
        <f t="shared" si="4"/>
        <v>1</v>
      </c>
      <c r="AC26" s="1809">
        <f t="shared" si="5"/>
        <v>1</v>
      </c>
    </row>
    <row r="27" spans="1:29" s="117" customFormat="1" ht="15">
      <c r="A27" s="431"/>
      <c r="B27" s="451" t="s">
        <v>2648</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71"/>
      <c r="Q27" s="1793" t="str">
        <f t="shared" si="11"/>
        <v>人流量</v>
      </c>
      <c r="R27" s="769" t="s">
        <v>17</v>
      </c>
      <c r="S27" s="770">
        <f>F27</f>
        <v>100</v>
      </c>
      <c r="T27" s="769" t="s">
        <v>17</v>
      </c>
      <c r="U27" s="770">
        <f>H27</f>
        <v>100</v>
      </c>
      <c r="V27" s="769" t="s">
        <v>17</v>
      </c>
      <c r="W27" s="770">
        <f>J27</f>
        <v>100</v>
      </c>
      <c r="X27" s="771"/>
      <c r="Y27" s="3264"/>
      <c r="Z27" s="55" t="str">
        <f>Q27</f>
        <v>人流量</v>
      </c>
      <c r="AA27" s="1809">
        <f>D27/F27</f>
        <v>1</v>
      </c>
      <c r="AB27" s="1809">
        <f>D27/H27</f>
        <v>1</v>
      </c>
      <c r="AC27" s="1809">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7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64"/>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71"/>
      <c r="Q29" s="1808">
        <f t="shared" si="11"/>
        <v>111</v>
      </c>
      <c r="R29" s="773" t="s">
        <v>17</v>
      </c>
      <c r="S29" s="774">
        <f t="shared" si="12"/>
        <v>100</v>
      </c>
      <c r="T29" s="773" t="s">
        <v>17</v>
      </c>
      <c r="U29" s="774">
        <f t="shared" si="13"/>
        <v>100</v>
      </c>
      <c r="V29" s="773" t="s">
        <v>17</v>
      </c>
      <c r="W29" s="774">
        <f t="shared" si="14"/>
        <v>100</v>
      </c>
      <c r="X29" s="1811"/>
      <c r="Y29" s="3264"/>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71"/>
      <c r="Q30" s="1808">
        <f t="shared" si="11"/>
        <v>111</v>
      </c>
      <c r="R30" s="773" t="s">
        <v>17</v>
      </c>
      <c r="S30" s="774">
        <f t="shared" si="12"/>
        <v>100</v>
      </c>
      <c r="T30" s="773" t="s">
        <v>17</v>
      </c>
      <c r="U30" s="774">
        <f t="shared" si="13"/>
        <v>100</v>
      </c>
      <c r="V30" s="773" t="s">
        <v>17</v>
      </c>
      <c r="W30" s="774">
        <f t="shared" si="14"/>
        <v>100</v>
      </c>
      <c r="X30" s="1811"/>
      <c r="Y30" s="3264"/>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71"/>
      <c r="Q31" s="1808">
        <f t="shared" si="11"/>
        <v>111</v>
      </c>
      <c r="R31" s="773" t="s">
        <v>17</v>
      </c>
      <c r="S31" s="774">
        <f t="shared" si="12"/>
        <v>100</v>
      </c>
      <c r="T31" s="773" t="s">
        <v>17</v>
      </c>
      <c r="U31" s="774">
        <f t="shared" si="13"/>
        <v>100</v>
      </c>
      <c r="V31" s="773" t="s">
        <v>17</v>
      </c>
      <c r="W31" s="774">
        <f t="shared" si="14"/>
        <v>100</v>
      </c>
      <c r="X31" s="1811"/>
      <c r="Y31" s="3264"/>
      <c r="Z31" s="1812">
        <f t="shared" si="15"/>
        <v>111</v>
      </c>
      <c r="AA31" s="1809">
        <f t="shared" si="3"/>
        <v>1</v>
      </c>
      <c r="AB31" s="1809">
        <f t="shared" si="4"/>
        <v>1</v>
      </c>
      <c r="AC31" s="1809">
        <f t="shared" si="5"/>
        <v>1</v>
      </c>
    </row>
    <row r="32" spans="1:29" ht="15">
      <c r="A32" s="440" t="s">
        <v>2553</v>
      </c>
      <c r="B32" s="71" t="s">
        <v>2650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65" t="s">
        <v>2555</v>
      </c>
      <c r="Q32" s="1808" t="str">
        <f t="shared" si="11"/>
        <v>商业类型</v>
      </c>
      <c r="R32" s="773" t="s">
        <v>17</v>
      </c>
      <c r="S32" s="774">
        <f t="shared" si="12"/>
        <v>100</v>
      </c>
      <c r="T32" s="773" t="s">
        <v>17</v>
      </c>
      <c r="U32" s="774">
        <f t="shared" si="13"/>
        <v>100</v>
      </c>
      <c r="V32" s="773" t="s">
        <v>17</v>
      </c>
      <c r="W32" s="774">
        <f t="shared" si="14"/>
        <v>100</v>
      </c>
      <c r="X32" s="1811"/>
      <c r="Y32" s="3268" t="s">
        <v>2555</v>
      </c>
      <c r="Z32" s="1812" t="str">
        <f t="shared" si="15"/>
        <v>商业类型</v>
      </c>
      <c r="AA32" s="1809">
        <f t="shared" si="3"/>
        <v>1</v>
      </c>
      <c r="AB32" s="1809">
        <f t="shared" si="4"/>
        <v>1</v>
      </c>
      <c r="AC32" s="1809">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66"/>
      <c r="Q33" s="775" t="str">
        <f t="shared" si="11"/>
        <v>项目建筑规模</v>
      </c>
      <c r="R33" s="776" t="s">
        <v>17</v>
      </c>
      <c r="S33" s="777" t="e">
        <f t="shared" si="12"/>
        <v>#N/A</v>
      </c>
      <c r="T33" s="776" t="s">
        <v>17</v>
      </c>
      <c r="U33" s="777" t="e">
        <f t="shared" si="13"/>
        <v>#N/A</v>
      </c>
      <c r="V33" s="776" t="s">
        <v>17</v>
      </c>
      <c r="W33" s="777" t="e">
        <f t="shared" si="14"/>
        <v>#N/A</v>
      </c>
      <c r="X33" s="778"/>
      <c r="Y33" s="3268"/>
      <c r="Z33" s="779" t="str">
        <f t="shared" si="15"/>
        <v>项目建筑规模</v>
      </c>
      <c r="AA33" s="1809" t="e">
        <f t="shared" si="3"/>
        <v>#N/A</v>
      </c>
      <c r="AB33" s="1809" t="e">
        <f t="shared" si="4"/>
        <v>#N/A</v>
      </c>
      <c r="AC33" s="1809" t="e">
        <f t="shared" si="5"/>
        <v>#N/A</v>
      </c>
    </row>
    <row r="34" spans="1:29" ht="15">
      <c r="A34" s="472"/>
      <c r="B34" s="422" t="s">
        <v>2557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66"/>
      <c r="Q34" s="1808" t="str">
        <f t="shared" si="11"/>
        <v>建筑结构</v>
      </c>
      <c r="R34" s="773" t="s">
        <v>17</v>
      </c>
      <c r="S34" s="774">
        <f t="shared" si="12"/>
        <v>100</v>
      </c>
      <c r="T34" s="773" t="s">
        <v>17</v>
      </c>
      <c r="U34" s="774">
        <f t="shared" si="13"/>
        <v>100</v>
      </c>
      <c r="V34" s="773" t="s">
        <v>17</v>
      </c>
      <c r="W34" s="774">
        <f t="shared" si="14"/>
        <v>100</v>
      </c>
      <c r="X34" s="1811"/>
      <c r="Y34" s="3268"/>
      <c r="Z34" s="1812" t="str">
        <f t="shared" si="15"/>
        <v>建筑结构</v>
      </c>
      <c r="AA34" s="1809">
        <f t="shared" si="3"/>
        <v>1</v>
      </c>
      <c r="AB34" s="1809">
        <f t="shared" si="4"/>
        <v>1</v>
      </c>
      <c r="AC34" s="1809">
        <f t="shared" si="5"/>
        <v>1</v>
      </c>
    </row>
    <row r="35" spans="1:29" ht="15">
      <c r="A35" s="472"/>
      <c r="B35" s="422" t="s">
        <v>2651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66"/>
      <c r="Q35" s="1808" t="str">
        <f t="shared" si="11"/>
        <v>公共部分装修</v>
      </c>
      <c r="R35" s="773" t="s">
        <v>17</v>
      </c>
      <c r="S35" s="774">
        <f t="shared" si="12"/>
        <v>100</v>
      </c>
      <c r="T35" s="773" t="s">
        <v>17</v>
      </c>
      <c r="U35" s="774">
        <f t="shared" si="13"/>
        <v>100</v>
      </c>
      <c r="V35" s="773" t="s">
        <v>17</v>
      </c>
      <c r="W35" s="774">
        <f t="shared" si="14"/>
        <v>100</v>
      </c>
      <c r="X35" s="1811"/>
      <c r="Y35" s="3268"/>
      <c r="Z35" s="1812" t="str">
        <f t="shared" si="15"/>
        <v>公共部分装修</v>
      </c>
      <c r="AA35" s="1809">
        <f t="shared" si="3"/>
        <v>1</v>
      </c>
      <c r="AB35" s="1809">
        <f t="shared" si="4"/>
        <v>1</v>
      </c>
      <c r="AC35" s="1809">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66"/>
      <c r="Q36" s="1808" t="str">
        <f t="shared" si="11"/>
        <v>成新度</v>
      </c>
      <c r="R36" s="773" t="s">
        <v>17</v>
      </c>
      <c r="S36" s="774" t="e">
        <f t="shared" si="12"/>
        <v>#N/A</v>
      </c>
      <c r="T36" s="773" t="s">
        <v>17</v>
      </c>
      <c r="U36" s="774" t="e">
        <f t="shared" si="13"/>
        <v>#N/A</v>
      </c>
      <c r="V36" s="773" t="s">
        <v>17</v>
      </c>
      <c r="W36" s="774" t="e">
        <f t="shared" si="14"/>
        <v>#N/A</v>
      </c>
      <c r="X36" s="1811"/>
      <c r="Y36" s="3268"/>
      <c r="Z36" s="1812" t="str">
        <f t="shared" si="15"/>
        <v>成新度</v>
      </c>
      <c r="AA36" s="1809" t="e">
        <f t="shared" si="3"/>
        <v>#N/A</v>
      </c>
      <c r="AB36" s="1809" t="e">
        <f t="shared" si="4"/>
        <v>#N/A</v>
      </c>
      <c r="AC36" s="1809" t="e">
        <f t="shared" si="5"/>
        <v>#N/A</v>
      </c>
    </row>
    <row r="37" spans="1:29" s="117" customFormat="1" ht="15">
      <c r="A37" s="473"/>
      <c r="B37" s="422" t="s">
        <v>2653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66"/>
      <c r="Q37" s="1793" t="str">
        <f t="shared" si="11"/>
        <v>市政基础设施</v>
      </c>
      <c r="R37" s="769" t="s">
        <v>17</v>
      </c>
      <c r="S37" s="770">
        <f t="shared" si="12"/>
        <v>100</v>
      </c>
      <c r="T37" s="769" t="s">
        <v>17</v>
      </c>
      <c r="U37" s="770">
        <f t="shared" si="13"/>
        <v>100</v>
      </c>
      <c r="V37" s="769" t="s">
        <v>17</v>
      </c>
      <c r="W37" s="770">
        <f t="shared" si="14"/>
        <v>100</v>
      </c>
      <c r="X37" s="771"/>
      <c r="Y37" s="3268"/>
      <c r="Z37" s="55" t="str">
        <f t="shared" si="15"/>
        <v>市政基础设施</v>
      </c>
      <c r="AA37" s="772">
        <f t="shared" si="3"/>
        <v>1</v>
      </c>
      <c r="AB37" s="772">
        <f t="shared" si="4"/>
        <v>1</v>
      </c>
      <c r="AC37" s="772">
        <f t="shared" si="5"/>
        <v>1</v>
      </c>
    </row>
    <row r="38" spans="1:29" ht="15">
      <c r="A38" s="472"/>
      <c r="B38" s="422" t="s">
        <v>2654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66" t="s">
        <v>2555</v>
      </c>
      <c r="Q38" s="1808" t="str">
        <f t="shared" si="11"/>
        <v>业态</v>
      </c>
      <c r="R38" s="773" t="s">
        <v>17</v>
      </c>
      <c r="S38" s="774">
        <f t="shared" si="12"/>
        <v>100</v>
      </c>
      <c r="T38" s="773" t="s">
        <v>17</v>
      </c>
      <c r="U38" s="774">
        <f t="shared" si="13"/>
        <v>100</v>
      </c>
      <c r="V38" s="773" t="s">
        <v>17</v>
      </c>
      <c r="W38" s="774">
        <f t="shared" si="14"/>
        <v>100</v>
      </c>
      <c r="X38" s="1811"/>
      <c r="Y38" s="3268" t="s">
        <v>2555</v>
      </c>
      <c r="Z38" s="1812" t="str">
        <f t="shared" si="15"/>
        <v>业态</v>
      </c>
      <c r="AA38" s="1809">
        <f t="shared" si="3"/>
        <v>1</v>
      </c>
      <c r="AB38" s="1809">
        <f t="shared" si="4"/>
        <v>1</v>
      </c>
      <c r="AC38" s="1809">
        <f t="shared" si="5"/>
        <v>1</v>
      </c>
    </row>
    <row r="39" spans="1:29" ht="15">
      <c r="A39" s="472"/>
      <c r="B39" s="422" t="s">
        <v>2655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66"/>
      <c r="Q39" s="1808" t="str">
        <f t="shared" si="11"/>
        <v>层高</v>
      </c>
      <c r="R39" s="773" t="s">
        <v>17</v>
      </c>
      <c r="S39" s="774">
        <f t="shared" si="12"/>
        <v>100</v>
      </c>
      <c r="T39" s="773" t="s">
        <v>17</v>
      </c>
      <c r="U39" s="774">
        <f t="shared" si="13"/>
        <v>100</v>
      </c>
      <c r="V39" s="773" t="s">
        <v>17</v>
      </c>
      <c r="W39" s="774">
        <f t="shared" si="14"/>
        <v>100</v>
      </c>
      <c r="X39" s="1811"/>
      <c r="Y39" s="3268"/>
      <c r="Z39" s="1812" t="str">
        <f t="shared" si="15"/>
        <v>层高</v>
      </c>
      <c r="AA39" s="1809">
        <f t="shared" si="3"/>
        <v>1</v>
      </c>
      <c r="AB39" s="1809">
        <f t="shared" si="4"/>
        <v>1</v>
      </c>
      <c r="AC39" s="1809">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6"/>
      <c r="Q40" s="1808" t="str">
        <f t="shared" si="11"/>
        <v>单套建筑面积</v>
      </c>
      <c r="R40" s="773" t="s">
        <v>17</v>
      </c>
      <c r="S40" s="774">
        <f t="shared" si="12"/>
        <v>100</v>
      </c>
      <c r="T40" s="773" t="s">
        <v>17</v>
      </c>
      <c r="U40" s="774">
        <f t="shared" si="13"/>
        <v>100</v>
      </c>
      <c r="V40" s="773" t="s">
        <v>17</v>
      </c>
      <c r="W40" s="774">
        <f t="shared" si="14"/>
        <v>100</v>
      </c>
      <c r="X40" s="1811"/>
      <c r="Y40" s="3268"/>
      <c r="Z40" s="1812" t="str">
        <f t="shared" si="15"/>
        <v>单套建筑面积</v>
      </c>
      <c r="AA40" s="1809">
        <f t="shared" si="3"/>
        <v>1</v>
      </c>
      <c r="AB40" s="1809">
        <f t="shared" si="4"/>
        <v>1</v>
      </c>
      <c r="AC40" s="1809">
        <f t="shared" si="5"/>
        <v>1</v>
      </c>
    </row>
    <row r="41" spans="1:29" s="471" customFormat="1" ht="15">
      <c r="A41" s="468"/>
      <c r="B41" s="1810"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6"/>
      <c r="Q41" s="775" t="str">
        <f t="shared" si="11"/>
        <v>进深比</v>
      </c>
      <c r="R41" s="776" t="s">
        <v>17</v>
      </c>
      <c r="S41" s="777">
        <f t="shared" si="12"/>
        <v>100</v>
      </c>
      <c r="T41" s="776" t="s">
        <v>17</v>
      </c>
      <c r="U41" s="777">
        <f t="shared" si="13"/>
        <v>100</v>
      </c>
      <c r="V41" s="776" t="s">
        <v>17</v>
      </c>
      <c r="W41" s="777">
        <f t="shared" si="14"/>
        <v>100</v>
      </c>
      <c r="X41" s="778"/>
      <c r="Y41" s="3268"/>
      <c r="Z41" s="779" t="str">
        <f t="shared" si="15"/>
        <v>进深比</v>
      </c>
      <c r="AA41" s="1809">
        <f t="shared" si="3"/>
        <v>1</v>
      </c>
      <c r="AB41" s="1809">
        <f t="shared" si="4"/>
        <v>1</v>
      </c>
      <c r="AC41" s="1809">
        <f t="shared" si="5"/>
        <v>1</v>
      </c>
    </row>
    <row r="42" spans="1:29" ht="15">
      <c r="A42" s="472"/>
      <c r="B42" s="422" t="s">
        <v>2658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66"/>
      <c r="Q42" s="1808" t="str">
        <f t="shared" si="11"/>
        <v>内部装修</v>
      </c>
      <c r="R42" s="773" t="s">
        <v>17</v>
      </c>
      <c r="S42" s="774">
        <f t="shared" si="12"/>
        <v>100</v>
      </c>
      <c r="T42" s="773" t="s">
        <v>17</v>
      </c>
      <c r="U42" s="774">
        <f t="shared" si="13"/>
        <v>100</v>
      </c>
      <c r="V42" s="773" t="s">
        <v>17</v>
      </c>
      <c r="W42" s="774">
        <f t="shared" si="14"/>
        <v>100</v>
      </c>
      <c r="X42" s="1811"/>
      <c r="Y42" s="3268"/>
      <c r="Z42" s="1812" t="str">
        <f t="shared" si="15"/>
        <v>内部装修</v>
      </c>
      <c r="AA42" s="1809">
        <f t="shared" si="3"/>
        <v>1</v>
      </c>
      <c r="AB42" s="1809">
        <f t="shared" si="4"/>
        <v>1</v>
      </c>
      <c r="AC42" s="1809">
        <f t="shared" si="5"/>
        <v>1</v>
      </c>
    </row>
    <row r="43" spans="1:29" ht="15">
      <c r="A43" s="472"/>
      <c r="B43" s="422" t="s">
        <v>2566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66"/>
      <c r="Q43" s="1808" t="str">
        <f t="shared" si="11"/>
        <v>内部装修维护情况</v>
      </c>
      <c r="R43" s="773" t="s">
        <v>17</v>
      </c>
      <c r="S43" s="774">
        <f t="shared" si="12"/>
        <v>100</v>
      </c>
      <c r="T43" s="773" t="s">
        <v>17</v>
      </c>
      <c r="U43" s="774">
        <f t="shared" si="13"/>
        <v>100</v>
      </c>
      <c r="V43" s="773" t="s">
        <v>17</v>
      </c>
      <c r="W43" s="774">
        <f t="shared" si="14"/>
        <v>100</v>
      </c>
      <c r="X43" s="1811"/>
      <c r="Y43" s="3268"/>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6"/>
      <c r="Q44" s="1793">
        <f t="shared" si="11"/>
        <v>111</v>
      </c>
      <c r="R44" s="769" t="s">
        <v>17</v>
      </c>
      <c r="S44" s="770">
        <f t="shared" si="12"/>
        <v>100</v>
      </c>
      <c r="T44" s="769" t="s">
        <v>17</v>
      </c>
      <c r="U44" s="770">
        <f t="shared" si="13"/>
        <v>100</v>
      </c>
      <c r="V44" s="769" t="s">
        <v>17</v>
      </c>
      <c r="W44" s="770">
        <f t="shared" si="14"/>
        <v>100</v>
      </c>
      <c r="X44" s="771"/>
      <c r="Y44" s="3268"/>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6"/>
      <c r="Q45" s="1808">
        <f t="shared" si="11"/>
        <v>111</v>
      </c>
      <c r="R45" s="773" t="s">
        <v>17</v>
      </c>
      <c r="S45" s="774">
        <f t="shared" si="12"/>
        <v>100</v>
      </c>
      <c r="T45" s="773" t="s">
        <v>17</v>
      </c>
      <c r="U45" s="774">
        <f t="shared" si="13"/>
        <v>100</v>
      </c>
      <c r="V45" s="773" t="s">
        <v>17</v>
      </c>
      <c r="W45" s="774">
        <f t="shared" si="14"/>
        <v>100</v>
      </c>
      <c r="X45" s="1811"/>
      <c r="Y45" s="3268"/>
      <c r="Z45" s="1812">
        <f t="shared" si="15"/>
        <v>111</v>
      </c>
      <c r="AA45" s="1809">
        <f t="shared" si="3"/>
        <v>1</v>
      </c>
      <c r="AB45" s="1809">
        <f t="shared" si="4"/>
        <v>1</v>
      </c>
      <c r="AC45" s="1809">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7"/>
      <c r="Q46" s="1808">
        <f t="shared" si="11"/>
        <v>111</v>
      </c>
      <c r="R46" s="773" t="s">
        <v>17</v>
      </c>
      <c r="S46" s="774">
        <f t="shared" si="12"/>
        <v>100</v>
      </c>
      <c r="T46" s="773" t="s">
        <v>17</v>
      </c>
      <c r="U46" s="774">
        <f t="shared" si="13"/>
        <v>100</v>
      </c>
      <c r="V46" s="773" t="s">
        <v>17</v>
      </c>
      <c r="W46" s="774">
        <f t="shared" si="14"/>
        <v>100</v>
      </c>
      <c r="X46" s="1811"/>
      <c r="Y46" s="3269"/>
      <c r="Z46" s="1812">
        <f t="shared" si="15"/>
        <v>111</v>
      </c>
      <c r="AA46" s="1809">
        <f t="shared" si="3"/>
        <v>1</v>
      </c>
      <c r="AB46" s="1809">
        <f t="shared" si="4"/>
        <v>1</v>
      </c>
      <c r="AC46" s="1809">
        <f t="shared" si="5"/>
        <v>1</v>
      </c>
    </row>
    <row r="47" spans="1:29" ht="15">
      <c r="A47" s="479" t="s">
        <v>2567</v>
      </c>
      <c r="B47" s="480"/>
      <c r="C47" s="1405" t="s">
        <v>1</v>
      </c>
      <c r="D47" s="1406"/>
      <c r="E47" s="1407"/>
      <c r="F47" s="1408"/>
      <c r="G47" s="1409"/>
      <c r="H47" s="1410"/>
      <c r="I47" s="1407"/>
      <c r="J47" s="1410"/>
      <c r="K47" s="782"/>
      <c r="L47" s="1142"/>
      <c r="M47" s="1143"/>
      <c r="N47" s="1130"/>
      <c r="O47" s="1143"/>
      <c r="P47" s="3261" t="str">
        <f>A47</f>
        <v>成交单价（元/平方米）</v>
      </c>
      <c r="Q47" s="3261"/>
      <c r="R47" s="3256">
        <f>E47</f>
        <v>0</v>
      </c>
      <c r="S47" s="3256"/>
      <c r="T47" s="3256">
        <f>G47</f>
        <v>0</v>
      </c>
      <c r="U47" s="3256"/>
      <c r="V47" s="3256">
        <f>I47</f>
        <v>0</v>
      </c>
      <c r="W47" s="3256"/>
      <c r="X47" s="758"/>
      <c r="Y47" s="780"/>
      <c r="Z47" s="758"/>
      <c r="AA47" s="758"/>
      <c r="AB47" s="758"/>
      <c r="AC47" s="758"/>
    </row>
    <row r="48" spans="1:29" ht="15.75" thickBot="1">
      <c r="A48" s="486" t="s">
        <v>2659</v>
      </c>
      <c r="B48" s="487"/>
      <c r="C48" s="1411" t="e">
        <f>R49</f>
        <v>#DIV/0!</v>
      </c>
      <c r="D48" s="1412"/>
      <c r="E48" s="1413" t="e">
        <f>R48</f>
        <v>#DIV/0!</v>
      </c>
      <c r="F48" s="1413"/>
      <c r="G48" s="1411" t="e">
        <f>T48</f>
        <v>#DIV/0!</v>
      </c>
      <c r="H48" s="1412"/>
      <c r="I48" s="1413" t="e">
        <f>V48</f>
        <v>#DIV/0!</v>
      </c>
      <c r="J48" s="1412"/>
      <c r="K48" s="783"/>
      <c r="L48" s="1142"/>
      <c r="M48" s="1143"/>
      <c r="N48" s="1130"/>
      <c r="O48" s="1143"/>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8"/>
      <c r="Y48" s="758"/>
      <c r="Z48" s="758"/>
      <c r="AA48" s="758"/>
      <c r="AB48" s="758"/>
      <c r="AC48" s="758"/>
    </row>
    <row r="49" spans="1:29" ht="15.75" thickBot="1">
      <c r="A49" s="492" t="s">
        <v>2660</v>
      </c>
      <c r="B49" s="493"/>
      <c r="C49" s="1415" t="e">
        <f>R49</f>
        <v>#DIV/0!</v>
      </c>
      <c r="D49" s="1415"/>
      <c r="E49" s="1415"/>
      <c r="F49" s="1415"/>
      <c r="G49" s="1415"/>
      <c r="H49" s="1415"/>
      <c r="I49" s="1415"/>
      <c r="J49" s="1415"/>
      <c r="K49" s="784"/>
      <c r="L49" s="1142"/>
      <c r="M49" s="1143"/>
      <c r="N49" s="1130"/>
      <c r="O49" s="1143"/>
      <c r="P49" s="3258" t="str">
        <f>A49</f>
        <v>估价对象XX用房的比较价值（楼面单价，元/平方米）</v>
      </c>
      <c r="Q49" s="3259"/>
      <c r="R49" s="3260" t="e">
        <f>IF(F1="售价",ROUND(AVERAGE(R48:V48),0),ROUND(AVERAGE(R48:V48),1))</f>
        <v>#DIV/0!</v>
      </c>
      <c r="S49" s="3260"/>
      <c r="T49" s="3260"/>
      <c r="U49" s="3260"/>
      <c r="V49" s="3260"/>
      <c r="W49" s="326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8" customFormat="1" ht="15">
      <c r="A58" s="505" t="s">
        <v>2538</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2540</v>
      </c>
      <c r="B61" s="510"/>
      <c r="C61" s="522" t="s">
        <v>2642</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36"/>
      <c r="E73" s="536"/>
      <c r="F73" s="536"/>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2645</v>
      </c>
      <c r="C82" s="660" t="s">
        <v>2665</v>
      </c>
      <c r="D82" s="660" t="s">
        <v>2666</v>
      </c>
      <c r="E82" s="660" t="s">
        <v>2667</v>
      </c>
      <c r="F82" s="660" t="s">
        <v>2668</v>
      </c>
      <c r="G82" s="660" t="s">
        <v>2669</v>
      </c>
      <c r="H82" s="539"/>
      <c r="I82" s="539"/>
      <c r="J82" s="539"/>
      <c r="K82" s="539"/>
      <c r="L82" s="539"/>
      <c r="M82" s="1380"/>
      <c r="N82" s="1152"/>
      <c r="O82" s="1152"/>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2670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5.75" thickBot="1">
      <c r="A89" s="579"/>
      <c r="B89" s="543"/>
      <c r="C89" s="560"/>
      <c r="D89" s="536"/>
      <c r="E89" s="536"/>
      <c r="F89" s="536"/>
      <c r="G89" s="536"/>
      <c r="H89" s="536"/>
      <c r="I89" s="536"/>
      <c r="J89" s="536"/>
      <c r="K89" s="536"/>
      <c r="L89" s="536"/>
      <c r="M89" s="536"/>
      <c r="N89" s="1152"/>
      <c r="O89" s="1152"/>
      <c r="P89" s="2626"/>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5.75" thickTop="1">
      <c r="A92" s="534"/>
      <c r="B92" s="538" t="str">
        <f>B28</f>
        <v>楼层</v>
      </c>
      <c r="C92" s="554"/>
      <c r="D92" s="554"/>
      <c r="E92" s="554"/>
      <c r="F92" s="554"/>
      <c r="G92" s="554"/>
      <c r="H92" s="554"/>
      <c r="I92" s="554"/>
      <c r="J92" s="554"/>
      <c r="K92" s="554"/>
      <c r="L92" s="580"/>
      <c r="M92" s="581"/>
      <c r="N92" s="1151"/>
      <c r="O92" s="1151"/>
      <c r="P92" s="2626"/>
      <c r="Q92" s="504"/>
    </row>
    <row r="93" spans="1:17" ht="15.75" thickBot="1">
      <c r="A93" s="534"/>
      <c r="B93" s="543"/>
      <c r="C93" s="536"/>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36"/>
      <c r="E95" s="536"/>
      <c r="F95" s="536"/>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60"/>
      <c r="D97" s="536"/>
      <c r="E97" s="536"/>
      <c r="F97" s="536"/>
      <c r="G97" s="536"/>
      <c r="H97" s="536"/>
      <c r="I97" s="536"/>
      <c r="J97" s="536"/>
      <c r="K97" s="536"/>
      <c r="L97" s="536"/>
      <c r="M97" s="537"/>
      <c r="N97" s="1152"/>
      <c r="O97" s="1152"/>
      <c r="P97" s="2626"/>
      <c r="Q97" s="504"/>
    </row>
    <row r="98" spans="1:17" ht="15.75" thickTop="1">
      <c r="A98" s="534"/>
      <c r="B98" s="546">
        <f>B31</f>
        <v>111</v>
      </c>
      <c r="C98" s="554"/>
      <c r="D98" s="554"/>
      <c r="E98" s="554"/>
      <c r="F98" s="554"/>
      <c r="G98" s="587"/>
      <c r="H98" s="587"/>
      <c r="I98" s="587"/>
      <c r="J98" s="587"/>
      <c r="K98" s="588"/>
      <c r="L98" s="589"/>
      <c r="M98" s="590"/>
      <c r="N98" s="1151"/>
      <c r="O98" s="1151"/>
      <c r="P98" s="2626"/>
      <c r="Q98" s="504"/>
    </row>
    <row r="99" spans="1:17" ht="15.75" thickBot="1">
      <c r="A99" s="2632"/>
      <c r="B99" s="569"/>
      <c r="C99" s="570"/>
      <c r="D99" s="570"/>
      <c r="E99" s="570"/>
      <c r="F99" s="570"/>
      <c r="G99" s="591"/>
      <c r="H99" s="591"/>
      <c r="I99" s="591"/>
      <c r="J99" s="591"/>
      <c r="K99" s="591"/>
      <c r="L99" s="591"/>
      <c r="M99" s="592"/>
      <c r="N99" s="1152"/>
      <c r="O99" s="1152"/>
      <c r="P99" s="2626"/>
      <c r="Q99" s="504"/>
    </row>
    <row r="100" spans="1:17">
      <c r="A100" s="527" t="s">
        <v>2553</v>
      </c>
      <c r="B100" s="528" t="s">
        <v>2671</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2606</v>
      </c>
      <c r="C107" s="554"/>
      <c r="D107" s="554"/>
      <c r="E107" s="554"/>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2672</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2673</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2674</v>
      </c>
      <c r="C118" s="627"/>
      <c r="D118" s="627"/>
      <c r="E118" s="627"/>
      <c r="F118" s="627"/>
      <c r="G118" s="627"/>
      <c r="H118" s="555"/>
      <c r="I118" s="555"/>
      <c r="J118" s="555"/>
      <c r="K118" s="555"/>
      <c r="L118" s="556"/>
      <c r="M118" s="557"/>
      <c r="N118" s="1151"/>
      <c r="O118" s="1151"/>
      <c r="P118" s="2626"/>
      <c r="Q118" s="504"/>
    </row>
    <row r="119" spans="1:17" ht="15.75"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36"/>
      <c r="E129" s="536"/>
      <c r="F129" s="536"/>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3" zoomScale="90" zoomScaleNormal="90" workbookViewId="0">
      <selection activeCell="I106" sqref="I10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3090</v>
      </c>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f>IF(C2="——",ROUND(C50*D3/10000,0),ROUND(C50*D3/10000,0)-D2)</f>
        <v>339</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f>IF(C2="——",C50,ROUND(B2*10000/D3,0))</f>
        <v>43177</v>
      </c>
      <c r="C3" s="400" t="s">
        <v>2634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2635</v>
      </c>
      <c r="B4" s="402"/>
      <c r="C4" s="3244" t="s">
        <v>2636</v>
      </c>
      <c r="D4" s="3245"/>
      <c r="E4" s="3246" t="s">
        <v>2637</v>
      </c>
      <c r="F4" s="3247"/>
      <c r="G4" s="3244" t="s">
        <v>2638</v>
      </c>
      <c r="H4" s="3245"/>
      <c r="I4" s="3244" t="s">
        <v>2639</v>
      </c>
      <c r="J4" s="3245"/>
      <c r="K4" s="610" t="s">
        <v>2640</v>
      </c>
      <c r="L4" s="1129"/>
      <c r="M4" s="1130"/>
      <c r="N4" s="1130"/>
      <c r="O4" s="1130"/>
      <c r="P4" s="3281" t="s">
        <v>2641</v>
      </c>
      <c r="Q4" s="3282"/>
      <c r="R4" s="3273" t="s">
        <v>2637</v>
      </c>
      <c r="S4" s="3274"/>
      <c r="T4" s="3273" t="s">
        <v>2638</v>
      </c>
      <c r="U4" s="3274"/>
      <c r="V4" s="3285" t="s">
        <v>2639</v>
      </c>
      <c r="W4" s="3285"/>
      <c r="X4" s="2666"/>
      <c r="Y4" s="3273" t="s">
        <v>2641</v>
      </c>
      <c r="Z4" s="3274"/>
      <c r="AA4" s="3272" t="s">
        <v>2637</v>
      </c>
      <c r="AB4" s="3272" t="s">
        <v>2638</v>
      </c>
      <c r="AC4" s="3278" t="s">
        <v>2639</v>
      </c>
    </row>
    <row r="5" spans="1:29" ht="15">
      <c r="A5" s="404"/>
      <c r="B5" s="405"/>
      <c r="C5" s="3276" t="s">
        <v>3101</v>
      </c>
      <c r="D5" s="3238"/>
      <c r="E5" s="3275" t="s">
        <v>3163</v>
      </c>
      <c r="F5" s="3236"/>
      <c r="G5" s="3276" t="s">
        <v>3191</v>
      </c>
      <c r="H5" s="3238"/>
      <c r="I5" s="3276" t="s">
        <v>3192</v>
      </c>
      <c r="J5" s="3238"/>
      <c r="K5" s="610"/>
      <c r="L5" s="1129"/>
      <c r="M5" s="1130"/>
      <c r="N5" s="1130"/>
      <c r="O5" s="1130"/>
      <c r="P5" s="3283"/>
      <c r="Q5" s="3251"/>
      <c r="R5" s="3233"/>
      <c r="S5" s="3234"/>
      <c r="T5" s="3233"/>
      <c r="U5" s="3234"/>
      <c r="V5" s="3256"/>
      <c r="W5" s="3256"/>
      <c r="X5" s="1811"/>
      <c r="Y5" s="3233"/>
      <c r="Z5" s="3234"/>
      <c r="AA5" s="3227"/>
      <c r="AB5" s="3227"/>
      <c r="AC5" s="3279"/>
    </row>
    <row r="6" spans="1:29" ht="15.75" customHeight="1" thickBot="1">
      <c r="A6" s="406"/>
      <c r="B6" s="407"/>
      <c r="C6" s="3277" t="s">
        <v>3149</v>
      </c>
      <c r="D6" s="3240"/>
      <c r="E6" s="3277" t="s">
        <v>3167</v>
      </c>
      <c r="F6" s="3240"/>
      <c r="G6" s="3277" t="s">
        <v>3164</v>
      </c>
      <c r="H6" s="3240"/>
      <c r="I6" s="3277" t="s">
        <v>3166</v>
      </c>
      <c r="J6" s="3240"/>
      <c r="K6" s="610" t="s">
        <v>2537</v>
      </c>
      <c r="L6" s="1129"/>
      <c r="M6" s="1130"/>
      <c r="N6" s="1130"/>
      <c r="O6" s="1130"/>
      <c r="P6" s="3284"/>
      <c r="Q6" s="3253"/>
      <c r="R6" s="3233"/>
      <c r="S6" s="3234"/>
      <c r="T6" s="3254"/>
      <c r="U6" s="3255"/>
      <c r="V6" s="3256"/>
      <c r="W6" s="3256"/>
      <c r="X6" s="1811"/>
      <c r="Y6" s="3254"/>
      <c r="Z6" s="3255"/>
      <c r="AA6" s="3228"/>
      <c r="AB6" s="3228"/>
      <c r="AC6" s="3280"/>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6" t="s">
        <v>2539</v>
      </c>
      <c r="Q7" s="3257"/>
      <c r="R7" s="769" t="s">
        <v>17</v>
      </c>
      <c r="S7" s="770">
        <f t="shared" ref="S7:S15" si="0">F7</f>
        <v>100</v>
      </c>
      <c r="T7" s="769" t="s">
        <v>17</v>
      </c>
      <c r="U7" s="770">
        <f t="shared" ref="U7:U15" si="1">H7</f>
        <v>100</v>
      </c>
      <c r="V7" s="769" t="s">
        <v>17</v>
      </c>
      <c r="W7" s="770">
        <f t="shared" ref="W7:W15" si="2">J7</f>
        <v>100</v>
      </c>
      <c r="X7" s="771"/>
      <c r="Y7" s="3229" t="s">
        <v>2539</v>
      </c>
      <c r="Z7" s="3230"/>
      <c r="AA7" s="772">
        <f>D7/F7</f>
        <v>1</v>
      </c>
      <c r="AB7" s="772">
        <f>D7/H7</f>
        <v>1</v>
      </c>
      <c r="AC7" s="2667">
        <f>D7/J7</f>
        <v>1</v>
      </c>
    </row>
    <row r="8" spans="1:29" s="117" customFormat="1" ht="15.75" thickBot="1">
      <c r="A8" s="408" t="s">
        <v>2540</v>
      </c>
      <c r="B8" s="409"/>
      <c r="C8" s="414" t="s">
        <v>2642</v>
      </c>
      <c r="D8" s="411">
        <v>100</v>
      </c>
      <c r="E8" s="414" t="s">
        <v>3102</v>
      </c>
      <c r="F8" s="413">
        <f>SUMIF(62:62,E8,63:63)-SUMIF(62:62,C8,63:63)+100</f>
        <v>100</v>
      </c>
      <c r="G8" s="414" t="s">
        <v>3102</v>
      </c>
      <c r="H8" s="411">
        <f>SUMIF(62:62,G8,63:63)-SUMIF(62:62,C8,63:63)+100</f>
        <v>100</v>
      </c>
      <c r="I8" s="414" t="s">
        <v>3102</v>
      </c>
      <c r="J8" s="411">
        <f>SUMIF(62:62,I8,63:63)-SUMIF(62:62,C8,63:63)+100</f>
        <v>100</v>
      </c>
      <c r="K8" s="611"/>
      <c r="L8" s="1131"/>
      <c r="M8" s="1132"/>
      <c r="N8" s="1132"/>
      <c r="O8" s="1132"/>
      <c r="P8" s="3286" t="s">
        <v>2542</v>
      </c>
      <c r="Q8" s="3230"/>
      <c r="R8" s="769" t="s">
        <v>17</v>
      </c>
      <c r="S8" s="770">
        <f t="shared" si="0"/>
        <v>100</v>
      </c>
      <c r="T8" s="769" t="s">
        <v>17</v>
      </c>
      <c r="U8" s="770">
        <f t="shared" si="1"/>
        <v>100</v>
      </c>
      <c r="V8" s="769" t="s">
        <v>17</v>
      </c>
      <c r="W8" s="770">
        <f t="shared" si="2"/>
        <v>100</v>
      </c>
      <c r="X8" s="771"/>
      <c r="Y8" s="3229" t="s">
        <v>2542</v>
      </c>
      <c r="Z8" s="3230"/>
      <c r="AA8" s="772">
        <f t="shared" ref="AA8:AA47" si="3">D8/F8</f>
        <v>1</v>
      </c>
      <c r="AB8" s="772">
        <f t="shared" ref="AB8:AB47" si="4">D8/H8</f>
        <v>1</v>
      </c>
      <c r="AC8" s="2667">
        <f t="shared" ref="AC8:AC47" si="5">D8/J8</f>
        <v>1</v>
      </c>
    </row>
    <row r="9" spans="1:29" s="117" customFormat="1">
      <c r="A9" s="415" t="s">
        <v>2543</v>
      </c>
      <c r="B9" s="71" t="s">
        <v>2544</v>
      </c>
      <c r="C9" s="2966" t="s">
        <v>3103</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43" t="s">
        <v>2545</v>
      </c>
      <c r="Q9" s="1793" t="str">
        <f t="shared" ref="Q9:Q15" si="6">B9</f>
        <v>用途</v>
      </c>
      <c r="R9" s="769" t="s">
        <v>17</v>
      </c>
      <c r="S9" s="770">
        <f t="shared" si="0"/>
        <v>100</v>
      </c>
      <c r="T9" s="769" t="s">
        <v>17</v>
      </c>
      <c r="U9" s="770">
        <f t="shared" si="1"/>
        <v>100</v>
      </c>
      <c r="V9" s="769" t="s">
        <v>17</v>
      </c>
      <c r="W9" s="770">
        <f t="shared" si="2"/>
        <v>100</v>
      </c>
      <c r="X9" s="771"/>
      <c r="Y9" s="3076" t="s">
        <v>2546</v>
      </c>
      <c r="Z9" s="55" t="str">
        <f t="shared" ref="Z9:Z15" si="7">Q9</f>
        <v>用途</v>
      </c>
      <c r="AA9" s="772">
        <f t="shared" si="3"/>
        <v>1</v>
      </c>
      <c r="AB9" s="772">
        <f t="shared" si="4"/>
        <v>1</v>
      </c>
      <c r="AC9" s="2667">
        <f t="shared" si="5"/>
        <v>1</v>
      </c>
    </row>
    <row r="10" spans="1:29" s="427" customFormat="1" ht="27">
      <c r="A10" s="421"/>
      <c r="B10" s="422" t="s">
        <v>2547</v>
      </c>
      <c r="C10" s="423" t="s">
        <v>3104</v>
      </c>
      <c r="D10" s="136">
        <v>100</v>
      </c>
      <c r="E10" s="423" t="s">
        <v>3104</v>
      </c>
      <c r="F10" s="136">
        <f>SUMIF(66:66,E10,67:67)-SUMIF(66:66,C10,67:67)+100</f>
        <v>100</v>
      </c>
      <c r="G10" s="423" t="s">
        <v>3104</v>
      </c>
      <c r="H10" s="136">
        <f>SUMIF(66:66,G10,67:67)-SUMIF(66:66,C10,67:67)+100</f>
        <v>100</v>
      </c>
      <c r="I10" s="423" t="s">
        <v>3104</v>
      </c>
      <c r="J10" s="136">
        <f>SUMIF(66:66,I10,67:67)-SUMIF(66:66,C10,67:67)+100</f>
        <v>100</v>
      </c>
      <c r="K10" s="612">
        <v>1</v>
      </c>
      <c r="L10" s="1134"/>
      <c r="M10" s="1135"/>
      <c r="N10" s="1135"/>
      <c r="O10" s="1135"/>
      <c r="P10" s="3243"/>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2667">
        <f t="shared" si="5"/>
        <v>1</v>
      </c>
    </row>
    <row r="11" spans="1:29" ht="15">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3"/>
      <c r="Q11" s="1793" t="str">
        <f t="shared" si="6"/>
        <v>容积率</v>
      </c>
      <c r="R11" s="769" t="s">
        <v>17</v>
      </c>
      <c r="S11" s="770">
        <f t="shared" si="0"/>
        <v>100</v>
      </c>
      <c r="T11" s="769" t="s">
        <v>17</v>
      </c>
      <c r="U11" s="770">
        <f t="shared" si="1"/>
        <v>100</v>
      </c>
      <c r="V11" s="769" t="s">
        <v>17</v>
      </c>
      <c r="W11" s="770">
        <f t="shared" si="2"/>
        <v>100</v>
      </c>
      <c r="X11" s="771"/>
      <c r="Y11" s="3076"/>
      <c r="Z11" s="55"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43"/>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43"/>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43"/>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2667">
        <f t="shared" si="5"/>
        <v>1</v>
      </c>
    </row>
    <row r="15" spans="1:29" ht="121.5">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2996" t="s">
        <v>3175</v>
      </c>
      <c r="F15" s="441">
        <f>SUMIF(77:77,E16,78:78)-SUMIF(77:77,C16,78:78)+100</f>
        <v>100</v>
      </c>
      <c r="G15" s="2997" t="s">
        <v>3176</v>
      </c>
      <c r="H15" s="441">
        <f>SUMIF(77:77,G16,78:78)-SUMIF(77:77,C16,78:78)+100</f>
        <v>100</v>
      </c>
      <c r="I15" s="2997" t="s">
        <v>3177</v>
      </c>
      <c r="J15" s="441">
        <f>SUMIF(77:77,I16,78:78)-SUMIF(77:77,C16,78:78)+100</f>
        <v>100</v>
      </c>
      <c r="K15" s="614">
        <v>2</v>
      </c>
      <c r="L15" s="1139"/>
      <c r="M15" s="1130"/>
      <c r="N15" s="1130"/>
      <c r="O15" s="1130"/>
      <c r="P15" s="3270" t="s">
        <v>2550</v>
      </c>
      <c r="Q15" s="1808" t="str">
        <f t="shared" si="6"/>
        <v>办公集聚程度</v>
      </c>
      <c r="R15" s="773" t="s">
        <v>17</v>
      </c>
      <c r="S15" s="774">
        <f t="shared" si="0"/>
        <v>100</v>
      </c>
      <c r="T15" s="773" t="s">
        <v>17</v>
      </c>
      <c r="U15" s="774">
        <f t="shared" si="1"/>
        <v>100</v>
      </c>
      <c r="V15" s="773" t="s">
        <v>17</v>
      </c>
      <c r="W15" s="774">
        <f t="shared" si="2"/>
        <v>100</v>
      </c>
      <c r="X15" s="1811"/>
      <c r="Y15" s="3263" t="s">
        <v>2550</v>
      </c>
      <c r="Z15" s="1812" t="str">
        <f t="shared" si="7"/>
        <v>办公集聚程度</v>
      </c>
      <c r="AA15" s="1809">
        <f t="shared" si="3"/>
        <v>1</v>
      </c>
      <c r="AB15" s="1809">
        <f t="shared" si="4"/>
        <v>1</v>
      </c>
      <c r="AC15" s="2670">
        <f t="shared" si="5"/>
        <v>1</v>
      </c>
    </row>
    <row r="16" spans="1:29" ht="15">
      <c r="A16" s="428"/>
      <c r="B16" s="630"/>
      <c r="C16" s="2607" t="s">
        <v>3098</v>
      </c>
      <c r="D16" s="448"/>
      <c r="E16" s="447" t="s">
        <v>3098</v>
      </c>
      <c r="F16" s="448"/>
      <c r="G16" s="2607" t="s">
        <v>3098</v>
      </c>
      <c r="H16" s="450"/>
      <c r="I16" s="447" t="s">
        <v>3098</v>
      </c>
      <c r="J16" s="448"/>
      <c r="K16" s="615"/>
      <c r="L16" s="1139"/>
      <c r="M16" s="1130"/>
      <c r="N16" s="1130"/>
      <c r="O16" s="1130"/>
      <c r="P16" s="3271"/>
      <c r="Q16" s="1808"/>
      <c r="R16" s="773"/>
      <c r="S16" s="774"/>
      <c r="T16" s="773"/>
      <c r="U16" s="774"/>
      <c r="V16" s="773"/>
      <c r="W16" s="774"/>
      <c r="X16" s="1811"/>
      <c r="Y16" s="3264"/>
      <c r="Z16" s="1812"/>
      <c r="AA16" s="1809">
        <v>1</v>
      </c>
      <c r="AB16" s="1809">
        <v>1</v>
      </c>
      <c r="AC16" s="2670">
        <v>1</v>
      </c>
    </row>
    <row r="17" spans="1:29" ht="231.75">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3178</v>
      </c>
      <c r="F17" s="450">
        <f>SUMIF(79:79,E18,80:80)-SUMIF(79:79,C18,80:80)+100</f>
        <v>100</v>
      </c>
      <c r="G17" s="454" t="s">
        <v>3178</v>
      </c>
      <c r="H17" s="455">
        <f>SUMIF(79:79,G18,80:80)-SUMIF(79:79,C18,80:80)+100</f>
        <v>100</v>
      </c>
      <c r="I17" s="454" t="s">
        <v>3178</v>
      </c>
      <c r="J17" s="455">
        <f>SUMIF(79:79,I18,80:80)-SUMIF(79:79,C18,80:80)+100</f>
        <v>100</v>
      </c>
      <c r="K17" s="614">
        <v>2</v>
      </c>
      <c r="L17" s="1139"/>
      <c r="M17" s="1130"/>
      <c r="N17" s="1130"/>
      <c r="O17" s="1130"/>
      <c r="P17" s="3271"/>
      <c r="Q17" s="1808" t="str">
        <f>B17</f>
        <v>交通便捷度</v>
      </c>
      <c r="R17" s="773" t="s">
        <v>17</v>
      </c>
      <c r="S17" s="774">
        <f>F17</f>
        <v>100</v>
      </c>
      <c r="T17" s="773" t="s">
        <v>17</v>
      </c>
      <c r="U17" s="774">
        <f>H17</f>
        <v>100</v>
      </c>
      <c r="V17" s="773" t="s">
        <v>17</v>
      </c>
      <c r="W17" s="774">
        <f>J17</f>
        <v>100</v>
      </c>
      <c r="X17" s="1811"/>
      <c r="Y17" s="3264"/>
      <c r="Z17" s="1812" t="str">
        <f>Q17</f>
        <v>交通便捷度</v>
      </c>
      <c r="AA17" s="1809">
        <f t="shared" si="3"/>
        <v>1</v>
      </c>
      <c r="AB17" s="1809">
        <f t="shared" si="4"/>
        <v>1</v>
      </c>
      <c r="AC17" s="2670">
        <f t="shared" si="5"/>
        <v>1</v>
      </c>
    </row>
    <row r="18" spans="1:29" ht="15">
      <c r="A18" s="428"/>
      <c r="B18" s="632"/>
      <c r="C18" s="2672" t="s">
        <v>3098</v>
      </c>
      <c r="D18" s="450"/>
      <c r="E18" s="2672" t="s">
        <v>3098</v>
      </c>
      <c r="F18" s="450"/>
      <c r="G18" s="2672" t="s">
        <v>3098</v>
      </c>
      <c r="H18" s="448"/>
      <c r="I18" s="2672" t="s">
        <v>3098</v>
      </c>
      <c r="J18" s="448"/>
      <c r="K18" s="615"/>
      <c r="L18" s="1139"/>
      <c r="M18" s="1130"/>
      <c r="N18" s="1130"/>
      <c r="O18" s="1130"/>
      <c r="P18" s="3271"/>
      <c r="Q18" s="1808"/>
      <c r="R18" s="773"/>
      <c r="S18" s="774"/>
      <c r="T18" s="773"/>
      <c r="U18" s="774"/>
      <c r="V18" s="773"/>
      <c r="W18" s="774"/>
      <c r="X18" s="1811"/>
      <c r="Y18" s="3264"/>
      <c r="Z18" s="1812"/>
      <c r="AA18" s="1809">
        <v>1</v>
      </c>
      <c r="AB18" s="1809">
        <v>1</v>
      </c>
      <c r="AC18" s="2670">
        <v>1</v>
      </c>
    </row>
    <row r="19" spans="1:29" ht="229.5">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9" t="s">
        <v>3180</v>
      </c>
      <c r="F19" s="455">
        <f>SUMIF(81:81,E20,82:82)-SUMIF(81:81,C20,82:82)+100</f>
        <v>100</v>
      </c>
      <c r="G19" s="2998" t="s">
        <v>3179</v>
      </c>
      <c r="H19" s="450">
        <f>SUMIF(81:81,G20,82:82)-SUMIF(81:81,C20,82:82)+100</f>
        <v>100</v>
      </c>
      <c r="I19" s="2998" t="s">
        <v>3179</v>
      </c>
      <c r="J19" s="450">
        <f>SUMIF(81:81,I20,82:82)-SUMIF(81:81,C20,82:82)+100</f>
        <v>100</v>
      </c>
      <c r="K19" s="614">
        <v>2</v>
      </c>
      <c r="L19" s="1139"/>
      <c r="M19" s="1130"/>
      <c r="N19" s="1130"/>
      <c r="O19" s="1130"/>
      <c r="P19" s="3271"/>
      <c r="Q19" s="1808" t="str">
        <f>B19</f>
        <v>公共配套设施</v>
      </c>
      <c r="R19" s="773" t="s">
        <v>17</v>
      </c>
      <c r="S19" s="774">
        <f>F19</f>
        <v>100</v>
      </c>
      <c r="T19" s="773" t="s">
        <v>17</v>
      </c>
      <c r="U19" s="774">
        <f>H19</f>
        <v>100</v>
      </c>
      <c r="V19" s="773" t="s">
        <v>17</v>
      </c>
      <c r="W19" s="774">
        <f>J19</f>
        <v>100</v>
      </c>
      <c r="X19" s="1811"/>
      <c r="Y19" s="3264"/>
      <c r="Z19" s="1812" t="str">
        <f>Q19</f>
        <v>公共配套设施</v>
      </c>
      <c r="AA19" s="1809">
        <f t="shared" si="3"/>
        <v>1</v>
      </c>
      <c r="AB19" s="1809">
        <f t="shared" si="4"/>
        <v>1</v>
      </c>
      <c r="AC19" s="2670">
        <f t="shared" si="5"/>
        <v>1</v>
      </c>
    </row>
    <row r="20" spans="1:29" ht="15">
      <c r="A20" s="428"/>
      <c r="B20" s="632"/>
      <c r="C20" s="2607" t="s">
        <v>3098</v>
      </c>
      <c r="D20" s="448"/>
      <c r="E20" s="2607" t="s">
        <v>3098</v>
      </c>
      <c r="F20" s="448"/>
      <c r="G20" s="2607" t="s">
        <v>3098</v>
      </c>
      <c r="H20" s="448"/>
      <c r="I20" s="2607" t="s">
        <v>3098</v>
      </c>
      <c r="J20" s="448"/>
      <c r="K20" s="615"/>
      <c r="L20" s="1139"/>
      <c r="M20" s="1130"/>
      <c r="N20" s="1130"/>
      <c r="O20" s="1130"/>
      <c r="P20" s="3271"/>
      <c r="Q20" s="1808"/>
      <c r="R20" s="773"/>
      <c r="S20" s="774"/>
      <c r="T20" s="773"/>
      <c r="U20" s="774"/>
      <c r="V20" s="773"/>
      <c r="W20" s="774"/>
      <c r="X20" s="1811"/>
      <c r="Y20" s="3264"/>
      <c r="Z20" s="1812"/>
      <c r="AA20" s="1809">
        <v>1</v>
      </c>
      <c r="AB20" s="1809">
        <v>1</v>
      </c>
      <c r="AC20" s="2670">
        <v>1</v>
      </c>
    </row>
    <row r="21" spans="1:29" ht="28.5">
      <c r="A21" s="428"/>
      <c r="B21" s="633" t="s">
        <v>2679</v>
      </c>
      <c r="C21" s="2671" t="str">
        <f>估价对象房地状况!C8</f>
        <v>区域基础设施水平为七通</v>
      </c>
      <c r="D21" s="450">
        <v>100</v>
      </c>
      <c r="E21" s="2999" t="s">
        <v>3173</v>
      </c>
      <c r="F21" s="455">
        <f>SUMIF(83:83,E22,84:84)-SUMIF(83:83,C22,84:84)+100</f>
        <v>100</v>
      </c>
      <c r="G21" s="2998" t="s">
        <v>3173</v>
      </c>
      <c r="H21" s="450">
        <f>SUMIF(83:83,G22,84:84)-SUMIF(83:83,C22,84:84)+100</f>
        <v>100</v>
      </c>
      <c r="I21" s="2998" t="s">
        <v>3173</v>
      </c>
      <c r="J21" s="450">
        <f>SUMIF(83:83,I22,84:84)-SUMIF(83:83,C22,84:84)+100</f>
        <v>100</v>
      </c>
      <c r="K21" s="614">
        <v>2</v>
      </c>
      <c r="L21" s="1139"/>
      <c r="M21" s="1130"/>
      <c r="N21" s="1130"/>
      <c r="O21" s="1130"/>
      <c r="P21" s="3271"/>
      <c r="Q21" s="1808" t="str">
        <f>B21</f>
        <v>基础设施水平</v>
      </c>
      <c r="R21" s="773" t="s">
        <v>17</v>
      </c>
      <c r="S21" s="774">
        <f>F21</f>
        <v>100</v>
      </c>
      <c r="T21" s="773" t="s">
        <v>17</v>
      </c>
      <c r="U21" s="774">
        <f>H21</f>
        <v>100</v>
      </c>
      <c r="V21" s="773" t="s">
        <v>17</v>
      </c>
      <c r="W21" s="774">
        <f>J21</f>
        <v>100</v>
      </c>
      <c r="X21" s="1811"/>
      <c r="Y21" s="3264"/>
      <c r="Z21" s="1812" t="str">
        <f>Q21</f>
        <v>基础设施水平</v>
      </c>
      <c r="AA21" s="1809">
        <f t="shared" ref="AA21" si="8">D21/F21</f>
        <v>1</v>
      </c>
      <c r="AB21" s="1809">
        <f t="shared" ref="AB21" si="9">D21/H21</f>
        <v>1</v>
      </c>
      <c r="AC21" s="2670">
        <f t="shared" ref="AC21" si="10">D21/J21</f>
        <v>1</v>
      </c>
    </row>
    <row r="22" spans="1:29" ht="15">
      <c r="A22" s="428"/>
      <c r="B22" s="633"/>
      <c r="C22" s="2672" t="s">
        <v>3131</v>
      </c>
      <c r="D22" s="448"/>
      <c r="E22" s="2672" t="s">
        <v>3131</v>
      </c>
      <c r="F22" s="448"/>
      <c r="G22" s="2672" t="s">
        <v>3131</v>
      </c>
      <c r="H22" s="448"/>
      <c r="I22" s="2672" t="s">
        <v>3131</v>
      </c>
      <c r="J22" s="448"/>
      <c r="K22" s="1381"/>
      <c r="L22" s="1139"/>
      <c r="M22" s="1130"/>
      <c r="N22" s="1130"/>
      <c r="O22" s="1130"/>
      <c r="P22" s="3271"/>
      <c r="Q22" s="1808"/>
      <c r="R22" s="773"/>
      <c r="S22" s="774"/>
      <c r="T22" s="773"/>
      <c r="U22" s="774"/>
      <c r="V22" s="773"/>
      <c r="W22" s="774"/>
      <c r="X22" s="1811"/>
      <c r="Y22" s="3264"/>
      <c r="Z22" s="1812"/>
      <c r="AA22" s="1809">
        <v>1</v>
      </c>
      <c r="AB22" s="1809">
        <v>1</v>
      </c>
      <c r="AC22" s="2670">
        <v>1</v>
      </c>
    </row>
    <row r="23" spans="1:29" ht="189">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3000" t="s">
        <v>3183</v>
      </c>
      <c r="F23" s="450">
        <f>SUMIF(85:85,E24,86:86)-SUMIF(85:85,C24,86:86)+100</f>
        <v>100</v>
      </c>
      <c r="G23" s="3001" t="s">
        <v>3182</v>
      </c>
      <c r="H23" s="450">
        <f>SUMIF(85:85,G24,86:86)-SUMIF(85:85,C24,86:86)+100</f>
        <v>100</v>
      </c>
      <c r="I23" s="3001" t="s">
        <v>3182</v>
      </c>
      <c r="J23" s="450">
        <f>SUMIF(85:85,I24,86:86)-SUMIF(85:85,C24,86:86)+100</f>
        <v>100</v>
      </c>
      <c r="K23" s="614">
        <v>2</v>
      </c>
      <c r="L23" s="1139"/>
      <c r="M23" s="1130"/>
      <c r="N23" s="1130"/>
      <c r="O23" s="1130"/>
      <c r="P23" s="3271"/>
      <c r="Q23" s="1808" t="str">
        <f>B23</f>
        <v>环境质量</v>
      </c>
      <c r="R23" s="773" t="s">
        <v>17</v>
      </c>
      <c r="S23" s="774">
        <f>F23</f>
        <v>100</v>
      </c>
      <c r="T23" s="773" t="s">
        <v>17</v>
      </c>
      <c r="U23" s="774">
        <f>H23</f>
        <v>100</v>
      </c>
      <c r="V23" s="773" t="s">
        <v>17</v>
      </c>
      <c r="W23" s="774">
        <f>J23</f>
        <v>100</v>
      </c>
      <c r="X23" s="1811"/>
      <c r="Y23" s="3264"/>
      <c r="Z23" s="1812" t="str">
        <f>Q23</f>
        <v>环境质量</v>
      </c>
      <c r="AA23" s="1809">
        <f t="shared" si="3"/>
        <v>1</v>
      </c>
      <c r="AB23" s="1809">
        <f t="shared" si="4"/>
        <v>1</v>
      </c>
      <c r="AC23" s="2670">
        <f t="shared" si="5"/>
        <v>1</v>
      </c>
    </row>
    <row r="24" spans="1:29" ht="15">
      <c r="A24" s="428"/>
      <c r="B24" s="633"/>
      <c r="C24" s="2607" t="s">
        <v>3098</v>
      </c>
      <c r="D24" s="448"/>
      <c r="E24" s="2607" t="s">
        <v>3098</v>
      </c>
      <c r="F24" s="448"/>
      <c r="G24" s="2607" t="s">
        <v>3098</v>
      </c>
      <c r="H24" s="448"/>
      <c r="I24" s="2607" t="s">
        <v>3098</v>
      </c>
      <c r="J24" s="448"/>
      <c r="K24" s="615"/>
      <c r="L24" s="1139"/>
      <c r="M24" s="1130"/>
      <c r="N24" s="1130"/>
      <c r="O24" s="1130"/>
      <c r="P24" s="3271"/>
      <c r="Q24" s="1808"/>
      <c r="R24" s="773"/>
      <c r="S24" s="774"/>
      <c r="T24" s="773"/>
      <c r="U24" s="774"/>
      <c r="V24" s="773"/>
      <c r="W24" s="774"/>
      <c r="X24" s="1811"/>
      <c r="Y24" s="3264"/>
      <c r="Z24" s="1812"/>
      <c r="AA24" s="1809">
        <v>1</v>
      </c>
      <c r="AB24" s="1809">
        <v>1</v>
      </c>
      <c r="AC24" s="2670">
        <v>1</v>
      </c>
    </row>
    <row r="25" spans="1:29" ht="27">
      <c r="A25" s="404"/>
      <c r="B25" s="631" t="s">
        <v>2681</v>
      </c>
      <c r="C25" s="2970" t="s">
        <v>3140</v>
      </c>
      <c r="D25" s="435">
        <v>100</v>
      </c>
      <c r="E25" s="2970" t="s">
        <v>3170</v>
      </c>
      <c r="F25" s="435">
        <f>SUMIF(87:87,E26,88:88)-SUMIF(87:87,C26,88:88)+100</f>
        <v>96</v>
      </c>
      <c r="G25" s="2970" t="s">
        <v>3161</v>
      </c>
      <c r="H25" s="435">
        <f>SUMIF(87:87,G26,88:88)-SUMIF(87:87,C26,88:88)+100</f>
        <v>96</v>
      </c>
      <c r="I25" s="2970" t="s">
        <v>3161</v>
      </c>
      <c r="J25" s="435">
        <f>SUMIF(87:87,I26,88:88)-SUMIF(87:87,C26,88:88)+100</f>
        <v>96</v>
      </c>
      <c r="K25" s="614">
        <v>2</v>
      </c>
      <c r="L25" s="1139"/>
      <c r="M25" s="1130"/>
      <c r="N25" s="1130"/>
      <c r="O25" s="1130"/>
      <c r="P25" s="3271"/>
      <c r="Q25" s="1808" t="str">
        <f>B25</f>
        <v>毗邻道路的类型与等级</v>
      </c>
      <c r="R25" s="773" t="s">
        <v>17</v>
      </c>
      <c r="S25" s="774">
        <f>F25</f>
        <v>96</v>
      </c>
      <c r="T25" s="773" t="s">
        <v>17</v>
      </c>
      <c r="U25" s="774">
        <f>H25</f>
        <v>96</v>
      </c>
      <c r="V25" s="773" t="s">
        <v>17</v>
      </c>
      <c r="W25" s="774">
        <f>J25</f>
        <v>96</v>
      </c>
      <c r="X25" s="1811"/>
      <c r="Y25" s="3264"/>
      <c r="Z25" s="1812" t="str">
        <f>Q25</f>
        <v>毗邻道路的类型与等级</v>
      </c>
      <c r="AA25" s="1809">
        <f t="shared" si="3"/>
        <v>1.0416666666666667</v>
      </c>
      <c r="AB25" s="1809">
        <f t="shared" si="4"/>
        <v>1.0416666666666667</v>
      </c>
      <c r="AC25" s="2670">
        <f t="shared" si="5"/>
        <v>1.0416666666666667</v>
      </c>
    </row>
    <row r="26" spans="1:29" ht="15">
      <c r="A26" s="404"/>
      <c r="B26" s="632"/>
      <c r="C26" s="634" t="s">
        <v>3106</v>
      </c>
      <c r="D26" s="435"/>
      <c r="E26" s="616" t="s">
        <v>3109</v>
      </c>
      <c r="F26" s="435"/>
      <c r="G26" s="634" t="s">
        <v>3109</v>
      </c>
      <c r="H26" s="435"/>
      <c r="I26" s="634" t="s">
        <v>3109</v>
      </c>
      <c r="J26" s="435"/>
      <c r="K26" s="615"/>
      <c r="L26" s="1139"/>
      <c r="M26" s="1130"/>
      <c r="N26" s="1130"/>
      <c r="O26" s="1130"/>
      <c r="P26" s="3271"/>
      <c r="Q26" s="1808"/>
      <c r="R26" s="773"/>
      <c r="S26" s="774"/>
      <c r="T26" s="773"/>
      <c r="U26" s="774"/>
      <c r="V26" s="773"/>
      <c r="W26" s="774"/>
      <c r="X26" s="1811"/>
      <c r="Y26" s="3264"/>
      <c r="Z26" s="1812"/>
      <c r="AA26" s="1809">
        <v>1</v>
      </c>
      <c r="AB26" s="1809">
        <v>1</v>
      </c>
      <c r="AC26" s="2670">
        <v>1</v>
      </c>
    </row>
    <row r="27" spans="1:29" ht="15">
      <c r="A27" s="428"/>
      <c r="B27" s="632" t="s">
        <v>2649</v>
      </c>
      <c r="C27" s="634" t="s">
        <v>3083</v>
      </c>
      <c r="D27" s="435">
        <v>100</v>
      </c>
      <c r="E27" s="616" t="s">
        <v>3112</v>
      </c>
      <c r="F27" s="435">
        <f>SUMIF(89:89,E27,90:90)-SUMIF(89:89,C27,90:90)+100</f>
        <v>106</v>
      </c>
      <c r="G27" s="634" t="s">
        <v>3083</v>
      </c>
      <c r="H27" s="435">
        <f>SUMIF(89:89,G27,90:90)-SUMIF(89:89,C27,90:90)+100</f>
        <v>100</v>
      </c>
      <c r="I27" s="616" t="s">
        <v>3114</v>
      </c>
      <c r="J27" s="435">
        <f>SUMIF(89:89,I27,90:90)-SUMIF(89:89,C27,90:90)+100</f>
        <v>103</v>
      </c>
      <c r="K27" s="612">
        <v>3</v>
      </c>
      <c r="L27" s="1139"/>
      <c r="M27" s="1130"/>
      <c r="N27" s="1130"/>
      <c r="O27" s="1130"/>
      <c r="P27" s="3271"/>
      <c r="Q27" s="1808" t="str">
        <f t="shared" ref="Q27:Q47" si="11">B27</f>
        <v>楼层</v>
      </c>
      <c r="R27" s="773" t="s">
        <v>17</v>
      </c>
      <c r="S27" s="774">
        <f>F27</f>
        <v>106</v>
      </c>
      <c r="T27" s="773" t="s">
        <v>17</v>
      </c>
      <c r="U27" s="774">
        <f>H27</f>
        <v>100</v>
      </c>
      <c r="V27" s="773" t="s">
        <v>17</v>
      </c>
      <c r="W27" s="774">
        <f>J27</f>
        <v>103</v>
      </c>
      <c r="X27" s="1811"/>
      <c r="Y27" s="3264"/>
      <c r="Z27" s="1812" t="str">
        <f>Q27</f>
        <v>楼层</v>
      </c>
      <c r="AA27" s="1809">
        <f t="shared" si="3"/>
        <v>0.94339622641509435</v>
      </c>
      <c r="AB27" s="1809">
        <f t="shared" si="4"/>
        <v>1</v>
      </c>
      <c r="AC27" s="2670">
        <f t="shared" si="5"/>
        <v>0.970873786407767</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71"/>
      <c r="Q28" s="1793" t="str">
        <f t="shared" si="11"/>
        <v>朝向</v>
      </c>
      <c r="R28" s="769" t="s">
        <v>17</v>
      </c>
      <c r="S28" s="770">
        <f>F28</f>
        <v>100</v>
      </c>
      <c r="T28" s="769" t="s">
        <v>17</v>
      </c>
      <c r="U28" s="770">
        <f>H28</f>
        <v>100</v>
      </c>
      <c r="V28" s="769" t="s">
        <v>17</v>
      </c>
      <c r="W28" s="770">
        <f>J28</f>
        <v>100</v>
      </c>
      <c r="X28" s="771"/>
      <c r="Y28" s="3264"/>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71"/>
      <c r="Q29" s="1808">
        <f t="shared" si="11"/>
        <v>111</v>
      </c>
      <c r="R29" s="773" t="s">
        <v>17</v>
      </c>
      <c r="S29" s="774">
        <f t="shared" ref="S29:S47" si="12">F29</f>
        <v>100</v>
      </c>
      <c r="T29" s="773" t="s">
        <v>17</v>
      </c>
      <c r="U29" s="774">
        <f t="shared" ref="U29:U47" si="13">H29</f>
        <v>100</v>
      </c>
      <c r="V29" s="773" t="s">
        <v>17</v>
      </c>
      <c r="W29" s="774">
        <f t="shared" ref="W29:W47" si="14">J29</f>
        <v>100</v>
      </c>
      <c r="X29" s="1811"/>
      <c r="Y29" s="3264"/>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71"/>
      <c r="Q30" s="1808">
        <f t="shared" si="11"/>
        <v>111</v>
      </c>
      <c r="R30" s="773" t="s">
        <v>17</v>
      </c>
      <c r="S30" s="774">
        <f t="shared" si="12"/>
        <v>100</v>
      </c>
      <c r="T30" s="773" t="s">
        <v>17</v>
      </c>
      <c r="U30" s="774">
        <f t="shared" si="13"/>
        <v>100</v>
      </c>
      <c r="V30" s="773" t="s">
        <v>17</v>
      </c>
      <c r="W30" s="774">
        <f t="shared" si="14"/>
        <v>100</v>
      </c>
      <c r="X30" s="1811"/>
      <c r="Y30" s="3264"/>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71"/>
      <c r="Q31" s="1808">
        <f t="shared" si="11"/>
        <v>111</v>
      </c>
      <c r="R31" s="773" t="s">
        <v>17</v>
      </c>
      <c r="S31" s="774">
        <f t="shared" si="12"/>
        <v>100</v>
      </c>
      <c r="T31" s="773" t="s">
        <v>17</v>
      </c>
      <c r="U31" s="774">
        <f t="shared" si="13"/>
        <v>100</v>
      </c>
      <c r="V31" s="773" t="s">
        <v>17</v>
      </c>
      <c r="W31" s="774">
        <f t="shared" si="14"/>
        <v>100</v>
      </c>
      <c r="X31" s="1811"/>
      <c r="Y31" s="3264"/>
      <c r="Z31" s="1812">
        <f t="shared" si="15"/>
        <v>111</v>
      </c>
      <c r="AA31" s="1809">
        <f t="shared" si="3"/>
        <v>1</v>
      </c>
      <c r="AB31" s="1809">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71"/>
      <c r="Q32" s="1808">
        <f t="shared" si="11"/>
        <v>111</v>
      </c>
      <c r="R32" s="773" t="s">
        <v>17</v>
      </c>
      <c r="S32" s="774">
        <f t="shared" si="12"/>
        <v>100</v>
      </c>
      <c r="T32" s="773" t="s">
        <v>17</v>
      </c>
      <c r="U32" s="774">
        <f t="shared" si="13"/>
        <v>100</v>
      </c>
      <c r="V32" s="773" t="s">
        <v>17</v>
      </c>
      <c r="W32" s="774">
        <f t="shared" si="14"/>
        <v>100</v>
      </c>
      <c r="X32" s="1811"/>
      <c r="Y32" s="3264"/>
      <c r="Z32" s="1812">
        <f t="shared" si="15"/>
        <v>111</v>
      </c>
      <c r="AA32" s="1809">
        <f t="shared" si="3"/>
        <v>1</v>
      </c>
      <c r="AB32" s="1809">
        <f t="shared" si="4"/>
        <v>1</v>
      </c>
      <c r="AC32" s="2670">
        <f t="shared" si="5"/>
        <v>1</v>
      </c>
    </row>
    <row r="33" spans="1:29" ht="15">
      <c r="A33" s="440" t="s">
        <v>2553</v>
      </c>
      <c r="B33" s="71" t="s">
        <v>2683</v>
      </c>
      <c r="C33" s="2675" t="s">
        <v>3117</v>
      </c>
      <c r="D33" s="467">
        <v>100</v>
      </c>
      <c r="E33" s="2675" t="s">
        <v>3117</v>
      </c>
      <c r="F33" s="461">
        <f>SUMIF(101:101,E33,102:102)-SUMIF(101:101,C33,102:102)+100</f>
        <v>100</v>
      </c>
      <c r="G33" s="2675" t="s">
        <v>3117</v>
      </c>
      <c r="H33" s="435">
        <f>SUMIF(101:101,G33,102:102)-SUMIF(101:101,C33,102:102)+100</f>
        <v>100</v>
      </c>
      <c r="I33" s="2675" t="s">
        <v>3117</v>
      </c>
      <c r="J33" s="467">
        <f>SUMIF(101:101,I33,102:102)-SUMIF(101:101,C33,102:102)+100</f>
        <v>100</v>
      </c>
      <c r="K33" s="612">
        <v>2</v>
      </c>
      <c r="L33" s="1139"/>
      <c r="M33" s="1130"/>
      <c r="N33" s="1130"/>
      <c r="O33" s="1130"/>
      <c r="P33" s="3265" t="s">
        <v>2555</v>
      </c>
      <c r="Q33" s="1808" t="str">
        <f t="shared" si="11"/>
        <v>建筑类型</v>
      </c>
      <c r="R33" s="773" t="s">
        <v>17</v>
      </c>
      <c r="S33" s="774">
        <f t="shared" si="12"/>
        <v>100</v>
      </c>
      <c r="T33" s="773" t="s">
        <v>17</v>
      </c>
      <c r="U33" s="774">
        <f t="shared" si="13"/>
        <v>100</v>
      </c>
      <c r="V33" s="773" t="s">
        <v>17</v>
      </c>
      <c r="W33" s="774">
        <f t="shared" si="14"/>
        <v>100</v>
      </c>
      <c r="X33" s="1811"/>
      <c r="Y33" s="3268" t="s">
        <v>2555</v>
      </c>
      <c r="Z33" s="1812" t="str">
        <f t="shared" si="15"/>
        <v>建筑类型</v>
      </c>
      <c r="AA33" s="1809">
        <f t="shared" si="3"/>
        <v>1</v>
      </c>
      <c r="AB33" s="1809">
        <f t="shared" si="4"/>
        <v>1</v>
      </c>
      <c r="AC33" s="2670">
        <f t="shared" si="5"/>
        <v>1</v>
      </c>
    </row>
    <row r="34" spans="1:29" s="471" customFormat="1" ht="15">
      <c r="A34" s="468"/>
      <c r="B34" s="3003" t="s">
        <v>2556</v>
      </c>
      <c r="C34" s="469">
        <f>'数据-汇总表'!F19</f>
        <v>78.53</v>
      </c>
      <c r="D34" s="136">
        <v>100</v>
      </c>
      <c r="E34" s="430">
        <v>71</v>
      </c>
      <c r="F34" s="425">
        <f>LOOKUP(E34,104:104,105:105)-LOOKUP(C34,104:104,105:105)+100</f>
        <v>100</v>
      </c>
      <c r="G34" s="429">
        <v>206</v>
      </c>
      <c r="H34" s="136">
        <f>LOOKUP(G34,104:104,105:105)-LOOKUP(C34,104:104,105:105)+100</f>
        <v>102</v>
      </c>
      <c r="I34" s="429">
        <v>225</v>
      </c>
      <c r="J34" s="136">
        <f>LOOKUP(I34,104:104,105:105)-LOOKUP(C34,104:104,105:105)+100</f>
        <v>102</v>
      </c>
      <c r="K34" s="613"/>
      <c r="L34" s="1137"/>
      <c r="M34" s="1140"/>
      <c r="N34" s="1140"/>
      <c r="O34" s="1140"/>
      <c r="P34" s="3266"/>
      <c r="Q34" s="775" t="str">
        <f t="shared" si="11"/>
        <v>项目建筑规模</v>
      </c>
      <c r="R34" s="776" t="s">
        <v>17</v>
      </c>
      <c r="S34" s="777">
        <f t="shared" si="12"/>
        <v>100</v>
      </c>
      <c r="T34" s="776" t="s">
        <v>17</v>
      </c>
      <c r="U34" s="777">
        <f t="shared" si="13"/>
        <v>102</v>
      </c>
      <c r="V34" s="776" t="s">
        <v>17</v>
      </c>
      <c r="W34" s="777">
        <f t="shared" si="14"/>
        <v>102</v>
      </c>
      <c r="X34" s="778"/>
      <c r="Y34" s="3268"/>
      <c r="Z34" s="779" t="str">
        <f t="shared" si="15"/>
        <v>项目建筑规模</v>
      </c>
      <c r="AA34" s="1809">
        <f t="shared" si="3"/>
        <v>1</v>
      </c>
      <c r="AB34" s="1809">
        <f t="shared" si="4"/>
        <v>0.98039215686274506</v>
      </c>
      <c r="AC34" s="2670">
        <f t="shared" si="5"/>
        <v>0.98039215686274506</v>
      </c>
    </row>
    <row r="35" spans="1:29" ht="15">
      <c r="A35" s="472"/>
      <c r="B35" s="422" t="s">
        <v>2557</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2</v>
      </c>
      <c r="L35" s="1139"/>
      <c r="M35" s="1130"/>
      <c r="N35" s="1130"/>
      <c r="O35" s="1130"/>
      <c r="P35" s="3266"/>
      <c r="Q35" s="1808" t="str">
        <f t="shared" si="11"/>
        <v>建筑结构</v>
      </c>
      <c r="R35" s="773" t="s">
        <v>17</v>
      </c>
      <c r="S35" s="774">
        <f t="shared" si="12"/>
        <v>100</v>
      </c>
      <c r="T35" s="773" t="s">
        <v>17</v>
      </c>
      <c r="U35" s="774">
        <f t="shared" si="13"/>
        <v>100</v>
      </c>
      <c r="V35" s="773" t="s">
        <v>17</v>
      </c>
      <c r="W35" s="774">
        <f t="shared" si="14"/>
        <v>100</v>
      </c>
      <c r="X35" s="1811"/>
      <c r="Y35" s="3268"/>
      <c r="Z35" s="1812" t="str">
        <f t="shared" si="15"/>
        <v>建筑结构</v>
      </c>
      <c r="AA35" s="1809">
        <f t="shared" si="3"/>
        <v>1</v>
      </c>
      <c r="AB35" s="1809">
        <f t="shared" si="4"/>
        <v>1</v>
      </c>
      <c r="AC35" s="2670">
        <f t="shared" si="5"/>
        <v>1</v>
      </c>
    </row>
    <row r="36" spans="1:29" ht="15">
      <c r="A36" s="472"/>
      <c r="B36" s="422" t="s">
        <v>2651</v>
      </c>
      <c r="C36" s="460" t="s">
        <v>3174</v>
      </c>
      <c r="D36" s="435">
        <v>100</v>
      </c>
      <c r="E36" s="460" t="s">
        <v>3174</v>
      </c>
      <c r="F36" s="461">
        <f>SUMIF(108:108,E36,109:109)-SUMIF(108:108,C36,109:109)+100</f>
        <v>100</v>
      </c>
      <c r="G36" s="460" t="s">
        <v>3174</v>
      </c>
      <c r="H36" s="435">
        <f>SUMIF(108:108,G36,109:109)-SUMIF(108:108,C36,109:109)+100</f>
        <v>100</v>
      </c>
      <c r="I36" s="460" t="s">
        <v>3174</v>
      </c>
      <c r="J36" s="435">
        <f>SUMIF(108:108,I36,109:109)-SUMIF(108:108,C36,109:109)+100</f>
        <v>100</v>
      </c>
      <c r="K36" s="612">
        <v>2</v>
      </c>
      <c r="L36" s="1139"/>
      <c r="M36" s="1130"/>
      <c r="N36" s="1130"/>
      <c r="O36" s="1130"/>
      <c r="P36" s="3266"/>
      <c r="Q36" s="1808" t="str">
        <f t="shared" si="11"/>
        <v>公共部分装修</v>
      </c>
      <c r="R36" s="773" t="s">
        <v>17</v>
      </c>
      <c r="S36" s="774">
        <f t="shared" si="12"/>
        <v>100</v>
      </c>
      <c r="T36" s="773" t="s">
        <v>17</v>
      </c>
      <c r="U36" s="774">
        <f t="shared" si="13"/>
        <v>100</v>
      </c>
      <c r="V36" s="773" t="s">
        <v>17</v>
      </c>
      <c r="W36" s="774">
        <f t="shared" si="14"/>
        <v>100</v>
      </c>
      <c r="X36" s="1811"/>
      <c r="Y36" s="3268"/>
      <c r="Z36" s="1812" t="str">
        <f t="shared" si="15"/>
        <v>公共部分装修</v>
      </c>
      <c r="AA36" s="1809">
        <f t="shared" si="3"/>
        <v>1</v>
      </c>
      <c r="AB36" s="1809">
        <f t="shared" si="4"/>
        <v>1</v>
      </c>
      <c r="AC36" s="2670">
        <f t="shared" si="5"/>
        <v>1</v>
      </c>
    </row>
    <row r="37" spans="1:29" ht="15">
      <c r="A37" s="472"/>
      <c r="B37" s="422" t="s">
        <v>2652</v>
      </c>
      <c r="C37" s="474">
        <f>'数据-取费表'!N6</f>
        <v>0.88</v>
      </c>
      <c r="D37" s="435">
        <v>100</v>
      </c>
      <c r="E37" s="474">
        <v>0.92</v>
      </c>
      <c r="F37" s="461">
        <f>LOOKUP(E37,111:111,112:112)-LOOKUP(C37,111:111,112:112)+100</f>
        <v>101</v>
      </c>
      <c r="G37" s="474">
        <v>0.88</v>
      </c>
      <c r="H37" s="461">
        <f>LOOKUP(G37,111:111,112:112)-LOOKUP(C37,111:111,112:112)+100</f>
        <v>100</v>
      </c>
      <c r="I37" s="474">
        <v>0.95</v>
      </c>
      <c r="J37" s="435">
        <f>LOOKUP(I37,111:111,112:112)-LOOKUP(C37,111:111,112:112)+100</f>
        <v>101</v>
      </c>
      <c r="K37" s="612">
        <v>1</v>
      </c>
      <c r="L37" s="1139"/>
      <c r="M37" s="1130"/>
      <c r="N37" s="1130"/>
      <c r="O37" s="1130"/>
      <c r="P37" s="3266"/>
      <c r="Q37" s="1808" t="str">
        <f t="shared" si="11"/>
        <v>成新度</v>
      </c>
      <c r="R37" s="773" t="s">
        <v>17</v>
      </c>
      <c r="S37" s="774">
        <f t="shared" si="12"/>
        <v>101</v>
      </c>
      <c r="T37" s="773" t="s">
        <v>17</v>
      </c>
      <c r="U37" s="774">
        <f t="shared" si="13"/>
        <v>100</v>
      </c>
      <c r="V37" s="773" t="s">
        <v>17</v>
      </c>
      <c r="W37" s="774">
        <f t="shared" si="14"/>
        <v>101</v>
      </c>
      <c r="X37" s="1811"/>
      <c r="Y37" s="3268"/>
      <c r="Z37" s="1812" t="str">
        <f t="shared" si="15"/>
        <v>成新度</v>
      </c>
      <c r="AA37" s="1809">
        <f t="shared" si="3"/>
        <v>0.99009900990099009</v>
      </c>
      <c r="AB37" s="1809">
        <f t="shared" si="4"/>
        <v>1</v>
      </c>
      <c r="AC37" s="2670">
        <f t="shared" si="5"/>
        <v>0.99009900990099009</v>
      </c>
    </row>
    <row r="38" spans="1:29" s="117" customFormat="1" ht="15">
      <c r="A38" s="473"/>
      <c r="B38" s="422" t="s">
        <v>2684</v>
      </c>
      <c r="C38" s="460" t="s">
        <v>3126</v>
      </c>
      <c r="D38" s="136">
        <v>100</v>
      </c>
      <c r="E38" s="460" t="s">
        <v>3126</v>
      </c>
      <c r="F38" s="461">
        <f>SUMIF(113:113,E38,114:114)-SUMIF(113:113,C38,114:114)+100</f>
        <v>100</v>
      </c>
      <c r="G38" s="460" t="s">
        <v>3126</v>
      </c>
      <c r="H38" s="435">
        <f>SUMIF(113:113,G38,114:114)-SUMIF(113:113,C38,114:114)+100</f>
        <v>100</v>
      </c>
      <c r="I38" s="460" t="s">
        <v>3126</v>
      </c>
      <c r="J38" s="435">
        <f>SUMIF(113:113,I38,114:114)-SUMIF(113:113,C38,114:114)+100</f>
        <v>100</v>
      </c>
      <c r="K38" s="612">
        <v>5</v>
      </c>
      <c r="L38" s="1131"/>
      <c r="M38" s="1132"/>
      <c r="N38" s="1132"/>
      <c r="O38" s="1132"/>
      <c r="P38" s="3266"/>
      <c r="Q38" s="1793" t="str">
        <f t="shared" si="11"/>
        <v>写字楼等级</v>
      </c>
      <c r="R38" s="769" t="s">
        <v>17</v>
      </c>
      <c r="S38" s="770">
        <f t="shared" si="12"/>
        <v>100</v>
      </c>
      <c r="T38" s="769" t="s">
        <v>17</v>
      </c>
      <c r="U38" s="770">
        <f t="shared" si="13"/>
        <v>100</v>
      </c>
      <c r="V38" s="769" t="s">
        <v>17</v>
      </c>
      <c r="W38" s="770">
        <f t="shared" si="14"/>
        <v>100</v>
      </c>
      <c r="X38" s="771"/>
      <c r="Y38" s="3268"/>
      <c r="Z38" s="55" t="str">
        <f t="shared" si="15"/>
        <v>写字楼等级</v>
      </c>
      <c r="AA38" s="772">
        <f t="shared" si="3"/>
        <v>1</v>
      </c>
      <c r="AB38" s="772">
        <f t="shared" si="4"/>
        <v>1</v>
      </c>
      <c r="AC38" s="2667">
        <f t="shared" si="5"/>
        <v>1</v>
      </c>
    </row>
    <row r="39" spans="1:29" ht="15">
      <c r="A39" s="472"/>
      <c r="B39" s="422" t="s">
        <v>2685</v>
      </c>
      <c r="C39" s="460" t="s">
        <v>3129</v>
      </c>
      <c r="D39" s="435">
        <v>100</v>
      </c>
      <c r="E39" s="460" t="s">
        <v>3129</v>
      </c>
      <c r="F39" s="461">
        <f>SUMIF(115:115,E39,116:116)-SUMIF(115:115,C39,116:116)+100</f>
        <v>100</v>
      </c>
      <c r="G39" s="460" t="s">
        <v>3129</v>
      </c>
      <c r="H39" s="435">
        <f>SUMIF(115:115,G39,116:116)-SUMIF(115:115,C39,116:116)+100</f>
        <v>100</v>
      </c>
      <c r="I39" s="460" t="s">
        <v>3129</v>
      </c>
      <c r="J39" s="435">
        <f>SUMIF(115:115,I39,116:116)-SUMIF(115:115,C39,116:116)+100</f>
        <v>100</v>
      </c>
      <c r="K39" s="612">
        <v>2</v>
      </c>
      <c r="L39" s="1139"/>
      <c r="M39" s="1130"/>
      <c r="N39" s="1130"/>
      <c r="O39" s="1130"/>
      <c r="P39" s="3266" t="s">
        <v>2555</v>
      </c>
      <c r="Q39" s="1808" t="str">
        <f t="shared" si="11"/>
        <v>物业管理</v>
      </c>
      <c r="R39" s="773" t="s">
        <v>17</v>
      </c>
      <c r="S39" s="774">
        <f t="shared" si="12"/>
        <v>100</v>
      </c>
      <c r="T39" s="773" t="s">
        <v>17</v>
      </c>
      <c r="U39" s="774">
        <f t="shared" si="13"/>
        <v>100</v>
      </c>
      <c r="V39" s="773" t="s">
        <v>17</v>
      </c>
      <c r="W39" s="774">
        <f t="shared" si="14"/>
        <v>100</v>
      </c>
      <c r="X39" s="1811"/>
      <c r="Y39" s="3268" t="s">
        <v>2555</v>
      </c>
      <c r="Z39" s="1812" t="str">
        <f t="shared" si="15"/>
        <v>物业管理</v>
      </c>
      <c r="AA39" s="1809">
        <f t="shared" si="3"/>
        <v>1</v>
      </c>
      <c r="AB39" s="1809">
        <f t="shared" si="4"/>
        <v>1</v>
      </c>
      <c r="AC39" s="2670">
        <f t="shared" si="5"/>
        <v>1</v>
      </c>
    </row>
    <row r="40" spans="1:29" ht="15">
      <c r="A40" s="472"/>
      <c r="B40" s="422" t="s">
        <v>2653</v>
      </c>
      <c r="C40" s="460" t="s">
        <v>3133</v>
      </c>
      <c r="D40" s="435">
        <v>100</v>
      </c>
      <c r="E40" s="460" t="s">
        <v>3133</v>
      </c>
      <c r="F40" s="461">
        <f>SUMIF(117:117,E40,118:118)-SUMIF(117:117,C40,118:118)+100</f>
        <v>100</v>
      </c>
      <c r="G40" s="460" t="s">
        <v>3133</v>
      </c>
      <c r="H40" s="435">
        <f>SUMIF(117:117,G40,118:118)-SUMIF(117:117,C40,118:118)+100</f>
        <v>100</v>
      </c>
      <c r="I40" s="460" t="s">
        <v>3133</v>
      </c>
      <c r="J40" s="435">
        <f>SUMIF(117:117,I40,118:118)-SUMIF(117:117,C40,118:118)+100</f>
        <v>100</v>
      </c>
      <c r="K40" s="612">
        <v>2</v>
      </c>
      <c r="L40" s="1139"/>
      <c r="M40" s="1130"/>
      <c r="N40" s="1130"/>
      <c r="O40" s="1130"/>
      <c r="P40" s="3266"/>
      <c r="Q40" s="1808" t="str">
        <f t="shared" si="11"/>
        <v>市政基础设施</v>
      </c>
      <c r="R40" s="773" t="s">
        <v>17</v>
      </c>
      <c r="S40" s="774">
        <f t="shared" si="12"/>
        <v>100</v>
      </c>
      <c r="T40" s="773" t="s">
        <v>17</v>
      </c>
      <c r="U40" s="774">
        <f t="shared" si="13"/>
        <v>100</v>
      </c>
      <c r="V40" s="773" t="s">
        <v>17</v>
      </c>
      <c r="W40" s="774">
        <f t="shared" si="14"/>
        <v>100</v>
      </c>
      <c r="X40" s="1811"/>
      <c r="Y40" s="3268"/>
      <c r="Z40" s="1812" t="str">
        <f t="shared" si="15"/>
        <v>市政基础设施</v>
      </c>
      <c r="AA40" s="1809">
        <f t="shared" si="3"/>
        <v>1</v>
      </c>
      <c r="AB40" s="1809">
        <f t="shared" si="4"/>
        <v>1</v>
      </c>
      <c r="AC40" s="2670">
        <f t="shared" si="5"/>
        <v>1</v>
      </c>
    </row>
    <row r="41" spans="1:29" ht="15">
      <c r="A41" s="472"/>
      <c r="B41" s="422" t="s">
        <v>2655</v>
      </c>
      <c r="C41" s="616" t="s">
        <v>3138</v>
      </c>
      <c r="D41" s="435">
        <v>100</v>
      </c>
      <c r="E41" s="616" t="s">
        <v>3138</v>
      </c>
      <c r="F41" s="461">
        <f>SUMIF(119:119,E41,120:120)-SUMIF(119:119,C41,120:120)+100</f>
        <v>100</v>
      </c>
      <c r="G41" s="616" t="s">
        <v>3138</v>
      </c>
      <c r="H41" s="435">
        <f>SUMIF(119:119,G41,120:120)-SUMIF(119:119,C41,120:120)+100</f>
        <v>100</v>
      </c>
      <c r="I41" s="616" t="s">
        <v>3138</v>
      </c>
      <c r="J41" s="435">
        <f>SUMIF(119:119,I41,120:120)-SUMIF(119:119,C41,120:120)+100</f>
        <v>100</v>
      </c>
      <c r="K41" s="612">
        <v>2</v>
      </c>
      <c r="L41" s="1139"/>
      <c r="M41" s="1130"/>
      <c r="N41" s="1130"/>
      <c r="O41" s="1130"/>
      <c r="P41" s="3266"/>
      <c r="Q41" s="1808" t="str">
        <f t="shared" si="11"/>
        <v>层高</v>
      </c>
      <c r="R41" s="773" t="s">
        <v>17</v>
      </c>
      <c r="S41" s="774">
        <f t="shared" si="12"/>
        <v>100</v>
      </c>
      <c r="T41" s="773" t="s">
        <v>17</v>
      </c>
      <c r="U41" s="774">
        <f t="shared" si="13"/>
        <v>100</v>
      </c>
      <c r="V41" s="773" t="s">
        <v>17</v>
      </c>
      <c r="W41" s="774">
        <f t="shared" si="14"/>
        <v>100</v>
      </c>
      <c r="X41" s="1811"/>
      <c r="Y41" s="3268"/>
      <c r="Z41" s="1812" t="str">
        <f t="shared" si="15"/>
        <v>层高</v>
      </c>
      <c r="AA41" s="1809">
        <f t="shared" si="3"/>
        <v>1</v>
      </c>
      <c r="AB41" s="1809">
        <f t="shared" si="4"/>
        <v>1</v>
      </c>
      <c r="AC41" s="2670">
        <f t="shared" si="5"/>
        <v>1</v>
      </c>
    </row>
    <row r="42" spans="1:29" s="471" customFormat="1" ht="15">
      <c r="A42" s="468"/>
      <c r="B42" s="1810"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6"/>
      <c r="Q42" s="775" t="str">
        <f t="shared" si="11"/>
        <v>单套建筑面积</v>
      </c>
      <c r="R42" s="776" t="s">
        <v>17</v>
      </c>
      <c r="S42" s="777">
        <f t="shared" si="12"/>
        <v>100</v>
      </c>
      <c r="T42" s="776" t="s">
        <v>17</v>
      </c>
      <c r="U42" s="777">
        <f t="shared" si="13"/>
        <v>100</v>
      </c>
      <c r="V42" s="776" t="s">
        <v>17</v>
      </c>
      <c r="W42" s="777">
        <f t="shared" si="14"/>
        <v>100</v>
      </c>
      <c r="X42" s="778"/>
      <c r="Y42" s="3268"/>
      <c r="Z42" s="779" t="str">
        <f t="shared" si="15"/>
        <v>单套建筑面积</v>
      </c>
      <c r="AA42" s="1809">
        <f t="shared" si="3"/>
        <v>1</v>
      </c>
      <c r="AB42" s="1809">
        <f t="shared" si="4"/>
        <v>1</v>
      </c>
      <c r="AC42" s="2670">
        <f t="shared" si="5"/>
        <v>1</v>
      </c>
    </row>
    <row r="43" spans="1:29" ht="15">
      <c r="A43" s="472"/>
      <c r="B43" s="422" t="s">
        <v>2658</v>
      </c>
      <c r="C43" s="460" t="s">
        <v>3121</v>
      </c>
      <c r="D43" s="435">
        <v>100</v>
      </c>
      <c r="E43" s="460" t="s">
        <v>3121</v>
      </c>
      <c r="F43" s="461">
        <f>SUMIF(123:123,E43,124:124)-SUMIF(123:123,C43,124:124)+100</f>
        <v>100</v>
      </c>
      <c r="G43" s="460" t="s">
        <v>3121</v>
      </c>
      <c r="H43" s="435">
        <f>SUMIF(123:123,G43,124:124)-SUMIF(123:123,C43,124:124)+100</f>
        <v>100</v>
      </c>
      <c r="I43" s="460" t="s">
        <v>3121</v>
      </c>
      <c r="J43" s="435">
        <f>SUMIF(123:123,I43,124:124)-SUMIF(123:123,C43,124:124)+100</f>
        <v>100</v>
      </c>
      <c r="K43" s="612">
        <v>2</v>
      </c>
      <c r="L43" s="1139"/>
      <c r="M43" s="1130"/>
      <c r="N43" s="1130"/>
      <c r="O43" s="1130"/>
      <c r="P43" s="3266"/>
      <c r="Q43" s="1808" t="str">
        <f t="shared" si="11"/>
        <v>内部装修</v>
      </c>
      <c r="R43" s="773" t="s">
        <v>17</v>
      </c>
      <c r="S43" s="774">
        <f t="shared" si="12"/>
        <v>100</v>
      </c>
      <c r="T43" s="773" t="s">
        <v>17</v>
      </c>
      <c r="U43" s="774">
        <f t="shared" si="13"/>
        <v>100</v>
      </c>
      <c r="V43" s="773" t="s">
        <v>17</v>
      </c>
      <c r="W43" s="774">
        <f t="shared" si="14"/>
        <v>100</v>
      </c>
      <c r="X43" s="1811"/>
      <c r="Y43" s="3268"/>
      <c r="Z43" s="1812" t="str">
        <f t="shared" si="15"/>
        <v>内部装修</v>
      </c>
      <c r="AA43" s="1809">
        <f t="shared" si="3"/>
        <v>1</v>
      </c>
      <c r="AB43" s="1809">
        <f t="shared" si="4"/>
        <v>1</v>
      </c>
      <c r="AC43" s="2670">
        <f t="shared" si="5"/>
        <v>1</v>
      </c>
    </row>
    <row r="44" spans="1:29" ht="15">
      <c r="A44" s="472"/>
      <c r="B44" s="422" t="s">
        <v>2566</v>
      </c>
      <c r="C44" s="460" t="s">
        <v>3098</v>
      </c>
      <c r="D44" s="435">
        <v>100</v>
      </c>
      <c r="E44" s="460" t="s">
        <v>3098</v>
      </c>
      <c r="F44" s="461">
        <f>SUMIF(125:125,E44,126:126)-SUMIF(125:125,C44,126:126)+100</f>
        <v>100</v>
      </c>
      <c r="G44" s="460" t="s">
        <v>3098</v>
      </c>
      <c r="H44" s="435">
        <f>SUMIF(125:125,G44,126:126)-SUMIF(125:125,C44,126:126)+100</f>
        <v>100</v>
      </c>
      <c r="I44" s="460" t="s">
        <v>3098</v>
      </c>
      <c r="J44" s="435">
        <f>SUMIF(125:125,I44,126:126)-SUMIF(125:125,C44,126:126)+100</f>
        <v>100</v>
      </c>
      <c r="K44" s="612">
        <v>2</v>
      </c>
      <c r="L44" s="1139"/>
      <c r="M44" s="1130"/>
      <c r="N44" s="1130"/>
      <c r="O44" s="1130"/>
      <c r="P44" s="3266"/>
      <c r="Q44" s="1808" t="str">
        <f t="shared" si="11"/>
        <v>内部装修维护情况</v>
      </c>
      <c r="R44" s="773" t="s">
        <v>17</v>
      </c>
      <c r="S44" s="774">
        <f t="shared" si="12"/>
        <v>100</v>
      </c>
      <c r="T44" s="773" t="s">
        <v>17</v>
      </c>
      <c r="U44" s="774">
        <f t="shared" si="13"/>
        <v>100</v>
      </c>
      <c r="V44" s="773" t="s">
        <v>17</v>
      </c>
      <c r="W44" s="774">
        <f t="shared" si="14"/>
        <v>100</v>
      </c>
      <c r="X44" s="1811"/>
      <c r="Y44" s="3268"/>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6"/>
      <c r="Q45" s="1793">
        <f t="shared" si="11"/>
        <v>111</v>
      </c>
      <c r="R45" s="769" t="s">
        <v>17</v>
      </c>
      <c r="S45" s="770">
        <f t="shared" si="12"/>
        <v>100</v>
      </c>
      <c r="T45" s="769" t="s">
        <v>17</v>
      </c>
      <c r="U45" s="770">
        <f t="shared" si="13"/>
        <v>100</v>
      </c>
      <c r="V45" s="769" t="s">
        <v>17</v>
      </c>
      <c r="W45" s="770">
        <f t="shared" si="14"/>
        <v>100</v>
      </c>
      <c r="X45" s="771"/>
      <c r="Y45" s="3268"/>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6"/>
      <c r="Q46" s="1808">
        <f t="shared" si="11"/>
        <v>111</v>
      </c>
      <c r="R46" s="773" t="s">
        <v>17</v>
      </c>
      <c r="S46" s="774">
        <f t="shared" si="12"/>
        <v>100</v>
      </c>
      <c r="T46" s="773" t="s">
        <v>17</v>
      </c>
      <c r="U46" s="774">
        <f t="shared" si="13"/>
        <v>100</v>
      </c>
      <c r="V46" s="773" t="s">
        <v>17</v>
      </c>
      <c r="W46" s="774">
        <f t="shared" si="14"/>
        <v>100</v>
      </c>
      <c r="X46" s="1811"/>
      <c r="Y46" s="3268"/>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7"/>
      <c r="Q47" s="1808">
        <f t="shared" si="11"/>
        <v>111</v>
      </c>
      <c r="R47" s="773" t="s">
        <v>17</v>
      </c>
      <c r="S47" s="774">
        <f t="shared" si="12"/>
        <v>100</v>
      </c>
      <c r="T47" s="773" t="s">
        <v>17</v>
      </c>
      <c r="U47" s="774">
        <f t="shared" si="13"/>
        <v>100</v>
      </c>
      <c r="V47" s="773" t="s">
        <v>17</v>
      </c>
      <c r="W47" s="774">
        <f t="shared" si="14"/>
        <v>100</v>
      </c>
      <c r="X47" s="1811"/>
      <c r="Y47" s="3269"/>
      <c r="Z47" s="1812">
        <f t="shared" si="15"/>
        <v>111</v>
      </c>
      <c r="AA47" s="1809">
        <f t="shared" si="3"/>
        <v>1</v>
      </c>
      <c r="AB47" s="1809">
        <f t="shared" si="4"/>
        <v>1</v>
      </c>
      <c r="AC47" s="2670">
        <f t="shared" si="5"/>
        <v>1</v>
      </c>
    </row>
    <row r="48" spans="1:29" ht="15">
      <c r="A48" s="479" t="s">
        <v>2567</v>
      </c>
      <c r="B48" s="480"/>
      <c r="C48" s="1405" t="s">
        <v>1</v>
      </c>
      <c r="D48" s="1406"/>
      <c r="E48" s="1407">
        <v>42715</v>
      </c>
      <c r="F48" s="1408"/>
      <c r="G48" s="1409">
        <v>40000</v>
      </c>
      <c r="H48" s="1410"/>
      <c r="I48" s="1407">
        <v>48000</v>
      </c>
      <c r="J48" s="485"/>
      <c r="K48" s="782"/>
      <c r="L48" s="1142"/>
      <c r="M48" s="1130"/>
      <c r="N48" s="1130"/>
      <c r="O48" s="1130"/>
      <c r="P48" s="3243" t="str">
        <f>A48</f>
        <v>成交单价（元/平方米）</v>
      </c>
      <c r="Q48" s="3261"/>
      <c r="R48" s="3262">
        <f>E48</f>
        <v>42715</v>
      </c>
      <c r="S48" s="3262"/>
      <c r="T48" s="3262">
        <f>G48</f>
        <v>40000</v>
      </c>
      <c r="U48" s="3262"/>
      <c r="V48" s="3262">
        <f>I48</f>
        <v>48000</v>
      </c>
      <c r="W48" s="3262"/>
      <c r="X48" s="446"/>
      <c r="Y48" s="780"/>
      <c r="Z48" s="446"/>
      <c r="AA48" s="446"/>
      <c r="AB48" s="446"/>
      <c r="AC48" s="630"/>
    </row>
    <row r="49" spans="1:29" ht="15.75" thickBot="1">
      <c r="A49" s="486" t="s">
        <v>2659</v>
      </c>
      <c r="B49" s="487"/>
      <c r="C49" s="1411">
        <f>R50</f>
        <v>43177</v>
      </c>
      <c r="D49" s="1412"/>
      <c r="E49" s="1413">
        <f>R49</f>
        <v>41561</v>
      </c>
      <c r="F49" s="1413"/>
      <c r="G49" s="1411">
        <f>T49</f>
        <v>40850</v>
      </c>
      <c r="H49" s="1412"/>
      <c r="I49" s="1413">
        <f>V49</f>
        <v>47121</v>
      </c>
      <c r="J49" s="489"/>
      <c r="K49" s="783"/>
      <c r="L49" s="1142"/>
      <c r="M49" s="1130"/>
      <c r="N49" s="1130"/>
      <c r="O49" s="1130"/>
      <c r="P49" s="3243" t="str">
        <f>A49</f>
        <v>比较价值（元/平方米）</v>
      </c>
      <c r="Q49" s="3261"/>
      <c r="R49" s="3262">
        <f>IF(F1="售价",ROUND(PRODUCT(R48,AA7:AA47),0),ROUND(PRODUCT(R48,AA7:AA47),1))</f>
        <v>41561</v>
      </c>
      <c r="S49" s="3262"/>
      <c r="T49" s="3262">
        <f>IF(F1="售价",ROUND(PRODUCT(T48,AB7:AB47),0),ROUND(PRODUCT(T48,AB7:AB47),1))</f>
        <v>40850</v>
      </c>
      <c r="U49" s="3262"/>
      <c r="V49" s="3262">
        <f>IF(F1="售价",ROUND(PRODUCT(V48,AC7:AC47),0),ROUND(PRODUCT(V48,AC7:AC47),1))</f>
        <v>47121</v>
      </c>
      <c r="W49" s="3262"/>
      <c r="X49" s="446"/>
      <c r="Y49" s="446"/>
      <c r="Z49" s="446"/>
      <c r="AA49" s="446"/>
      <c r="AB49" s="446"/>
      <c r="AC49" s="630"/>
    </row>
    <row r="50" spans="1:29" ht="15.75" thickBot="1">
      <c r="A50" s="492" t="s">
        <v>2660</v>
      </c>
      <c r="B50" s="493"/>
      <c r="C50" s="1415">
        <f>R50</f>
        <v>43177</v>
      </c>
      <c r="D50" s="1415"/>
      <c r="E50" s="1415"/>
      <c r="F50" s="1415"/>
      <c r="G50" s="1415"/>
      <c r="H50" s="1415"/>
      <c r="I50" s="1415"/>
      <c r="J50" s="494"/>
      <c r="K50" s="784"/>
      <c r="L50" s="1142"/>
      <c r="M50" s="1130"/>
      <c r="N50" s="1130"/>
      <c r="O50" s="1130"/>
      <c r="P50" s="3287" t="str">
        <f>A50</f>
        <v>估价对象XX用房的比较价值（楼面单价，元/平方米）</v>
      </c>
      <c r="Q50" s="3288"/>
      <c r="R50" s="3289">
        <f>IF(F1="售价",ROUND(AVERAGE(R49:V49),0),ROUND(AVERAGE(R49:V49),1))</f>
        <v>43177</v>
      </c>
      <c r="S50" s="3289"/>
      <c r="T50" s="3289"/>
      <c r="U50" s="3289"/>
      <c r="V50" s="3289"/>
      <c r="W50" s="3289"/>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f>IF(E48&lt;E49,E49/E48-1,E48/E49-1)</f>
        <v>2.7766415630037677E-2</v>
      </c>
      <c r="F53" s="500" t="str">
        <f>IF(OR(E53&gt;=0.3,E53&lt;=-0.3),"超过30%","")</f>
        <v/>
      </c>
      <c r="G53" s="499">
        <f>IF(G48&lt;G49,G49/G48-1,G48/G49-1)</f>
        <v>2.1249999999999991E-2</v>
      </c>
      <c r="H53" s="500" t="str">
        <f>IF(OR(G53&gt;=0.3,G53&lt;=-0.3),"超过30%","")</f>
        <v/>
      </c>
      <c r="I53" s="499">
        <f>IF(I48&lt;I49,I49/I48-1,I48/I49-1)</f>
        <v>1.8654103266059652E-2</v>
      </c>
      <c r="J53" s="500" t="str">
        <f>IF(OR(I53&gt;=0.3,I53&lt;=-0.3),"超过30%","")</f>
        <v/>
      </c>
      <c r="K53" s="1104"/>
      <c r="L53" s="1105"/>
      <c r="M53" s="1143"/>
      <c r="N53" s="1143"/>
      <c r="O53" s="1143"/>
    </row>
    <row r="54" spans="1:29" ht="13.5" customHeight="1">
      <c r="A54" s="1143"/>
      <c r="B54" s="1143"/>
      <c r="C54" s="497" t="s">
        <v>2662</v>
      </c>
      <c r="D54" s="501"/>
      <c r="E54" s="499">
        <f>IF(E49&lt;G49,G49/E49-1,E49/G49-1)</f>
        <v>1.7405140758874005E-2</v>
      </c>
      <c r="F54" s="500" t="str">
        <f>IF(OR(E54&gt;=0.2,E54&lt;=-0.2),"超过20%","")</f>
        <v/>
      </c>
      <c r="G54" s="499">
        <f>IF(G49&lt;I49,I49/G49-1,G49/I49-1)</f>
        <v>0.15351285189718489</v>
      </c>
      <c r="H54" s="500" t="str">
        <f>IF(OR(G54&gt;=0.2,G54&lt;=-0.2),"超过20%","")</f>
        <v/>
      </c>
      <c r="I54" s="499">
        <f>IF(I49&lt;E49,E49/I49-1,I49/E49-1)</f>
        <v>0.13377926421404673</v>
      </c>
      <c r="J54" s="500" t="str">
        <f>IF(OR(I54&gt;=0.2,I54&lt;=-0.2),"超过20%","")</f>
        <v/>
      </c>
      <c r="K54" s="1104"/>
      <c r="L54" s="1105"/>
      <c r="M54" s="1143"/>
      <c r="N54" s="1143"/>
      <c r="O54" s="1143"/>
    </row>
    <row r="55" spans="1:29" s="502" customFormat="1" ht="13.5" customHeight="1">
      <c r="A55" s="1144"/>
      <c r="B55" s="1144"/>
      <c r="C55" s="497" t="s">
        <v>2663</v>
      </c>
      <c r="D55" s="501"/>
      <c r="E55" s="499">
        <f>IF(E48&lt;G48,G48/E48-1,E48/G48-1)</f>
        <v>6.7874999999999908E-2</v>
      </c>
      <c r="F55" s="500" t="str">
        <f>IF(OR(E55&gt;=0.3,E55&lt;=-0.3),"超过30%","")</f>
        <v/>
      </c>
      <c r="G55" s="499">
        <f>IF(G48&lt;I48,I48/G48-1,G48/I48-1)</f>
        <v>0.19999999999999996</v>
      </c>
      <c r="H55" s="500" t="str">
        <f>IF(OR(G55&gt;=0.3,G55&lt;=-0.3),"超过30%","")</f>
        <v/>
      </c>
      <c r="I55" s="499">
        <f>IF(I48&lt;E48,E48/I48-1,I48/E48-1)</f>
        <v>0.1237270279761209</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2664</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2642</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7" t="s">
        <v>3105</v>
      </c>
      <c r="D87" s="2967" t="s">
        <v>3107</v>
      </c>
      <c r="E87" s="2967" t="s">
        <v>3108</v>
      </c>
      <c r="F87" s="2967" t="s">
        <v>3110</v>
      </c>
      <c r="G87" s="2967" t="s">
        <v>3111</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7" t="s">
        <v>3113</v>
      </c>
      <c r="D89" s="2967" t="s">
        <v>3115</v>
      </c>
      <c r="E89" s="2967" t="s">
        <v>3116</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8" t="s">
        <v>3118</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7" t="s">
        <v>3119</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3120</v>
      </c>
      <c r="D108" s="2967" t="s">
        <v>3122</v>
      </c>
      <c r="E108" s="2967" t="s">
        <v>3124</v>
      </c>
      <c r="F108" s="2969" t="s">
        <v>3125</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3127</v>
      </c>
      <c r="D113" s="2967" t="s">
        <v>3128</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3130</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3132</v>
      </c>
      <c r="D117" s="2967" t="s">
        <v>3134</v>
      </c>
      <c r="E117" s="2967" t="s">
        <v>3135</v>
      </c>
      <c r="F117" s="2967" t="s">
        <v>3136</v>
      </c>
      <c r="G117" s="2967" t="s">
        <v>3137</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3139</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3120</v>
      </c>
      <c r="D123" s="2967" t="s">
        <v>3122</v>
      </c>
      <c r="E123" s="2967" t="s">
        <v>3124</v>
      </c>
      <c r="F123" s="2969" t="s">
        <v>3125</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北京凯普林光电科技股份有限公司：</v>
      </c>
    </row>
    <row r="4" spans="1:1" ht="36">
      <c r="A4" s="1945" t="str">
        <f>"受贵公司委托，我公司对"&amp;项目基本情况!S1&amp;"进行了预评估。"</f>
        <v>受贵公司委托，我公司对北京市丰台区南四环西路128号院2号楼5层610等4套办公用房房地产抵押价值进行了预评估。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2019年9月10日（评估专业人员实地查勘之日）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2692</v>
      </c>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IF(C2="——",ROUND(C43*D3/10000,0),ROUND(C43*D3/10000,0)-D2)</f>
        <v>#DIV/0!</v>
      </c>
      <c r="C2" s="2582"/>
      <c r="D2" s="112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2319</v>
      </c>
      <c r="B3" s="609" t="e">
        <f ca="1">IF(C2="——",C43,ROUND(B2*10000/D3,0))</f>
        <v>#DIV/0!</v>
      </c>
      <c r="C3" s="400" t="s">
        <v>2634</v>
      </c>
      <c r="D3" s="399">
        <f>IF(D1="",'数据-汇总表'!E3,SUMIF('数据-汇总表'!$C19:$C33,D1,'数据-汇总表'!$E19:$E33))</f>
        <v>435.22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4" t="s">
        <v>2636</v>
      </c>
      <c r="D4" s="3245"/>
      <c r="E4" s="3246" t="s">
        <v>2637</v>
      </c>
      <c r="F4" s="3247"/>
      <c r="G4" s="3244" t="s">
        <v>2638</v>
      </c>
      <c r="H4" s="3245"/>
      <c r="I4" s="3244" t="s">
        <v>2639</v>
      </c>
      <c r="J4" s="3245"/>
      <c r="K4" s="610" t="s">
        <v>2640</v>
      </c>
      <c r="L4" s="1129"/>
      <c r="M4" s="1130"/>
      <c r="N4" s="1130"/>
      <c r="O4" s="1130"/>
      <c r="P4" s="3248" t="s">
        <v>2641</v>
      </c>
      <c r="Q4" s="3249"/>
      <c r="R4" s="3231" t="s">
        <v>2637</v>
      </c>
      <c r="S4" s="3232"/>
      <c r="T4" s="3231" t="s">
        <v>2638</v>
      </c>
      <c r="U4" s="3232"/>
      <c r="V4" s="3256" t="s">
        <v>2639</v>
      </c>
      <c r="W4" s="3256"/>
      <c r="X4" s="1811"/>
      <c r="Y4" s="3231" t="s">
        <v>2641</v>
      </c>
      <c r="Z4" s="3232"/>
      <c r="AA4" s="3226" t="s">
        <v>2637</v>
      </c>
      <c r="AB4" s="3227" t="s">
        <v>2638</v>
      </c>
      <c r="AC4" s="3226" t="s">
        <v>2639</v>
      </c>
    </row>
    <row r="5" spans="1:29" ht="15">
      <c r="A5" s="404"/>
      <c r="B5" s="405"/>
      <c r="C5" s="3237" t="s">
        <v>2532</v>
      </c>
      <c r="D5" s="3238"/>
      <c r="E5" s="3235" t="s">
        <v>2533</v>
      </c>
      <c r="F5" s="3236"/>
      <c r="G5" s="3237" t="s">
        <v>2534</v>
      </c>
      <c r="H5" s="3238"/>
      <c r="I5" s="3237" t="s">
        <v>2535</v>
      </c>
      <c r="J5" s="3238"/>
      <c r="K5" s="610"/>
      <c r="L5" s="1129"/>
      <c r="M5" s="1130"/>
      <c r="N5" s="1130"/>
      <c r="O5" s="1130"/>
      <c r="P5" s="3250"/>
      <c r="Q5" s="3251"/>
      <c r="R5" s="3233"/>
      <c r="S5" s="3234"/>
      <c r="T5" s="3233"/>
      <c r="U5" s="3234"/>
      <c r="V5" s="3256"/>
      <c r="W5" s="3256"/>
      <c r="X5" s="1811"/>
      <c r="Y5" s="3233"/>
      <c r="Z5" s="3234"/>
      <c r="AA5" s="3227"/>
      <c r="AB5" s="3227"/>
      <c r="AC5" s="3227"/>
    </row>
    <row r="6" spans="1:29" ht="15.75" thickBot="1">
      <c r="A6" s="406"/>
      <c r="B6" s="407"/>
      <c r="C6" s="3239" t="s">
        <v>2536</v>
      </c>
      <c r="D6" s="3240"/>
      <c r="E6" s="3241" t="s">
        <v>2536</v>
      </c>
      <c r="F6" s="3242"/>
      <c r="G6" s="3239" t="s">
        <v>2536</v>
      </c>
      <c r="H6" s="3240"/>
      <c r="I6" s="3239" t="s">
        <v>2536</v>
      </c>
      <c r="J6" s="3240"/>
      <c r="K6" s="610" t="s">
        <v>2537</v>
      </c>
      <c r="L6" s="1129"/>
      <c r="M6" s="1130"/>
      <c r="N6" s="1130"/>
      <c r="O6" s="1130"/>
      <c r="P6" s="3252"/>
      <c r="Q6" s="3253"/>
      <c r="R6" s="3233"/>
      <c r="S6" s="3234"/>
      <c r="T6" s="3254"/>
      <c r="U6" s="3255"/>
      <c r="V6" s="3256"/>
      <c r="W6" s="3256"/>
      <c r="X6" s="1811"/>
      <c r="Y6" s="3254"/>
      <c r="Z6" s="3255"/>
      <c r="AA6" s="3228"/>
      <c r="AB6" s="3228"/>
      <c r="AC6" s="3228"/>
    </row>
    <row r="7" spans="1:29" s="117" customFormat="1" ht="15.75" thickBot="1">
      <c r="A7" s="408" t="s">
        <v>2538</v>
      </c>
      <c r="B7" s="409"/>
      <c r="C7" s="410">
        <f>'数据-取费表'!B2</f>
        <v>43718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9" t="s">
        <v>2539</v>
      </c>
      <c r="Q7" s="3257"/>
      <c r="R7" s="769" t="s">
        <v>17</v>
      </c>
      <c r="S7" s="770">
        <f t="shared" ref="S7:S15" si="0">F7</f>
        <v>0</v>
      </c>
      <c r="T7" s="769" t="s">
        <v>17</v>
      </c>
      <c r="U7" s="770">
        <f t="shared" ref="U7:U15" si="1">H7</f>
        <v>0</v>
      </c>
      <c r="V7" s="769" t="s">
        <v>17</v>
      </c>
      <c r="W7" s="770">
        <f t="shared" ref="W7:W15" si="2">J7</f>
        <v>0</v>
      </c>
      <c r="X7" s="771"/>
      <c r="Y7" s="3229" t="s">
        <v>2539</v>
      </c>
      <c r="Z7" s="3230"/>
      <c r="AA7" s="772" t="e">
        <f>D7/F7</f>
        <v>#DIV/0!</v>
      </c>
      <c r="AB7" s="772" t="e">
        <f>D7/H7</f>
        <v>#DIV/0!</v>
      </c>
      <c r="AC7" s="772"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9" t="s">
        <v>2542</v>
      </c>
      <c r="Q8" s="3230"/>
      <c r="R8" s="769" t="s">
        <v>17</v>
      </c>
      <c r="S8" s="770">
        <f t="shared" si="0"/>
        <v>0</v>
      </c>
      <c r="T8" s="769" t="s">
        <v>17</v>
      </c>
      <c r="U8" s="770">
        <f t="shared" si="1"/>
        <v>0</v>
      </c>
      <c r="V8" s="769" t="s">
        <v>17</v>
      </c>
      <c r="W8" s="770">
        <f t="shared" si="2"/>
        <v>0</v>
      </c>
      <c r="X8" s="771"/>
      <c r="Y8" s="3229" t="s">
        <v>2542</v>
      </c>
      <c r="Z8" s="3230"/>
      <c r="AA8" s="772" t="e">
        <f t="shared" ref="AA8:AA40" si="3">D8/F8</f>
        <v>#DIV/0!</v>
      </c>
      <c r="AB8" s="772" t="e">
        <f t="shared" ref="AB8:AB40" si="4">D8/H8</f>
        <v>#DIV/0!</v>
      </c>
      <c r="AC8" s="772"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61" t="s">
        <v>2545</v>
      </c>
      <c r="Q9" s="1793" t="str">
        <f t="shared" ref="Q9:Q15" si="6">B9</f>
        <v>用途</v>
      </c>
      <c r="R9" s="769" t="s">
        <v>17</v>
      </c>
      <c r="S9" s="770">
        <f t="shared" si="0"/>
        <v>100</v>
      </c>
      <c r="T9" s="769" t="s">
        <v>17</v>
      </c>
      <c r="U9" s="770">
        <f t="shared" si="1"/>
        <v>100</v>
      </c>
      <c r="V9" s="769" t="s">
        <v>17</v>
      </c>
      <c r="W9" s="770">
        <f t="shared" si="2"/>
        <v>100</v>
      </c>
      <c r="X9" s="771"/>
      <c r="Y9" s="3076"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61"/>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61"/>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261"/>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261"/>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261"/>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57">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63" t="s">
        <v>2550</v>
      </c>
      <c r="Q15" s="1808" t="str">
        <f t="shared" si="6"/>
        <v>产业集聚程度</v>
      </c>
      <c r="R15" s="773" t="s">
        <v>17</v>
      </c>
      <c r="S15" s="774">
        <f t="shared" si="0"/>
        <v>100</v>
      </c>
      <c r="T15" s="773" t="s">
        <v>17</v>
      </c>
      <c r="U15" s="774">
        <f t="shared" si="1"/>
        <v>100</v>
      </c>
      <c r="V15" s="773" t="s">
        <v>17</v>
      </c>
      <c r="W15" s="774">
        <f t="shared" si="2"/>
        <v>100</v>
      </c>
      <c r="X15" s="1811"/>
      <c r="Y15" s="3263" t="s">
        <v>2550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64"/>
      <c r="Q16" s="1808"/>
      <c r="R16" s="773"/>
      <c r="S16" s="774"/>
      <c r="T16" s="773"/>
      <c r="U16" s="774"/>
      <c r="V16" s="773"/>
      <c r="W16" s="774"/>
      <c r="X16" s="1811"/>
      <c r="Y16" s="3264"/>
      <c r="Z16" s="1812"/>
      <c r="AA16" s="1809">
        <v>1</v>
      </c>
      <c r="AB16" s="1809">
        <v>1</v>
      </c>
      <c r="AC16" s="1809">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4"/>
      <c r="Q17" s="1808" t="str">
        <f>B17</f>
        <v>交通便捷度</v>
      </c>
      <c r="R17" s="773" t="s">
        <v>17</v>
      </c>
      <c r="S17" s="774">
        <f>F17</f>
        <v>100</v>
      </c>
      <c r="T17" s="773" t="s">
        <v>17</v>
      </c>
      <c r="U17" s="774">
        <f>H17</f>
        <v>100</v>
      </c>
      <c r="V17" s="773" t="s">
        <v>17</v>
      </c>
      <c r="W17" s="774">
        <f>J17</f>
        <v>100</v>
      </c>
      <c r="X17" s="1811"/>
      <c r="Y17" s="3264"/>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8"/>
      <c r="P18" s="3264"/>
      <c r="Q18" s="1808"/>
      <c r="R18" s="773"/>
      <c r="S18" s="774"/>
      <c r="T18" s="773"/>
      <c r="U18" s="774"/>
      <c r="V18" s="773"/>
      <c r="W18" s="774"/>
      <c r="X18" s="1811"/>
      <c r="Y18" s="3264"/>
      <c r="Z18" s="1812"/>
      <c r="AA18" s="1809">
        <v>1</v>
      </c>
      <c r="AB18" s="1809">
        <v>1</v>
      </c>
      <c r="AC18" s="1809">
        <v>1</v>
      </c>
    </row>
    <row r="19" spans="1:29" ht="42.75">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4"/>
      <c r="Q19" s="1808" t="str">
        <f>B19</f>
        <v>公共配套设施</v>
      </c>
      <c r="R19" s="773" t="s">
        <v>17</v>
      </c>
      <c r="S19" s="774">
        <f>F19</f>
        <v>100</v>
      </c>
      <c r="T19" s="773" t="s">
        <v>17</v>
      </c>
      <c r="U19" s="774">
        <f>H19</f>
        <v>100</v>
      </c>
      <c r="V19" s="773" t="s">
        <v>17</v>
      </c>
      <c r="W19" s="774">
        <f>J19</f>
        <v>100</v>
      </c>
      <c r="X19" s="1811"/>
      <c r="Y19" s="3264"/>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8"/>
      <c r="P20" s="3264"/>
      <c r="Q20" s="1808"/>
      <c r="R20" s="773"/>
      <c r="S20" s="774"/>
      <c r="T20" s="773"/>
      <c r="U20" s="774"/>
      <c r="V20" s="773"/>
      <c r="W20" s="774"/>
      <c r="X20" s="1811"/>
      <c r="Y20" s="3264"/>
      <c r="Z20" s="1812"/>
      <c r="AA20" s="1809">
        <v>1</v>
      </c>
      <c r="AB20" s="1809">
        <v>1</v>
      </c>
      <c r="AC20" s="1809">
        <v>1</v>
      </c>
    </row>
    <row r="21" spans="1:29" ht="28.5">
      <c r="A21" s="428"/>
      <c r="B21" s="1382"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4"/>
      <c r="Q21" s="1808" t="str">
        <f>B21</f>
        <v>基础设施水平</v>
      </c>
      <c r="R21" s="773" t="s">
        <v>17</v>
      </c>
      <c r="S21" s="774">
        <f>F21</f>
        <v>100</v>
      </c>
      <c r="T21" s="773" t="s">
        <v>17</v>
      </c>
      <c r="U21" s="774">
        <f>H21</f>
        <v>100</v>
      </c>
      <c r="V21" s="773" t="s">
        <v>17</v>
      </c>
      <c r="W21" s="774">
        <f>J21</f>
        <v>100</v>
      </c>
      <c r="X21" s="1811"/>
      <c r="Y21" s="326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8"/>
      <c r="P22" s="3264"/>
      <c r="Q22" s="1808"/>
      <c r="R22" s="773"/>
      <c r="S22" s="774"/>
      <c r="T22" s="773"/>
      <c r="U22" s="774"/>
      <c r="V22" s="773"/>
      <c r="W22" s="774"/>
      <c r="X22" s="1811"/>
      <c r="Y22" s="3264"/>
      <c r="Z22" s="1812"/>
      <c r="AA22" s="1809">
        <v>1</v>
      </c>
      <c r="AB22" s="1809">
        <v>1</v>
      </c>
      <c r="AC22" s="1809">
        <v>1</v>
      </c>
    </row>
    <row r="23" spans="1:29" ht="71.25">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4"/>
      <c r="Q23" s="1808" t="str">
        <f>B23</f>
        <v>环境质量</v>
      </c>
      <c r="R23" s="773" t="s">
        <v>17</v>
      </c>
      <c r="S23" s="774">
        <f>F23</f>
        <v>100</v>
      </c>
      <c r="T23" s="773" t="s">
        <v>17</v>
      </c>
      <c r="U23" s="774">
        <f>H23</f>
        <v>100</v>
      </c>
      <c r="V23" s="773" t="s">
        <v>17</v>
      </c>
      <c r="W23" s="774">
        <f>J23</f>
        <v>100</v>
      </c>
      <c r="X23" s="1811"/>
      <c r="Y23" s="3264"/>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9"/>
      <c r="M24" s="1130"/>
      <c r="N24" s="1130"/>
      <c r="O24" s="1138"/>
      <c r="P24" s="3264"/>
      <c r="Q24" s="1808"/>
      <c r="R24" s="773"/>
      <c r="S24" s="774"/>
      <c r="T24" s="773"/>
      <c r="U24" s="774"/>
      <c r="V24" s="773"/>
      <c r="W24" s="774"/>
      <c r="X24" s="1811"/>
      <c r="Y24" s="3264"/>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4"/>
      <c r="Q25" s="1808">
        <f>B25</f>
        <v>111</v>
      </c>
      <c r="R25" s="773" t="s">
        <v>17</v>
      </c>
      <c r="S25" s="774">
        <f>F25</f>
        <v>100</v>
      </c>
      <c r="T25" s="773" t="s">
        <v>17</v>
      </c>
      <c r="U25" s="774">
        <f>H25</f>
        <v>100</v>
      </c>
      <c r="V25" s="773" t="s">
        <v>17</v>
      </c>
      <c r="W25" s="774">
        <f>J25</f>
        <v>100</v>
      </c>
      <c r="X25" s="1811"/>
      <c r="Y25" s="3264"/>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4"/>
      <c r="Q26" s="1808">
        <f t="shared" ref="Q26:Q40" si="11">B26</f>
        <v>111</v>
      </c>
      <c r="R26" s="773" t="s">
        <v>17</v>
      </c>
      <c r="S26" s="774">
        <f>F26</f>
        <v>100</v>
      </c>
      <c r="T26" s="773" t="s">
        <v>17</v>
      </c>
      <c r="U26" s="774">
        <f>H26</f>
        <v>100</v>
      </c>
      <c r="V26" s="773" t="s">
        <v>17</v>
      </c>
      <c r="W26" s="774">
        <f>J26</f>
        <v>100</v>
      </c>
      <c r="X26" s="1811"/>
      <c r="Y26" s="3264"/>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4"/>
      <c r="Q27" s="1793">
        <f t="shared" si="11"/>
        <v>111</v>
      </c>
      <c r="R27" s="769" t="s">
        <v>17</v>
      </c>
      <c r="S27" s="770">
        <f>F27</f>
        <v>100</v>
      </c>
      <c r="T27" s="769" t="s">
        <v>17</v>
      </c>
      <c r="U27" s="770">
        <f>H27</f>
        <v>100</v>
      </c>
      <c r="V27" s="769" t="s">
        <v>17</v>
      </c>
      <c r="W27" s="770">
        <f>J27</f>
        <v>100</v>
      </c>
      <c r="X27" s="771"/>
      <c r="Y27" s="3264"/>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4"/>
      <c r="Q28" s="1808">
        <f t="shared" si="11"/>
        <v>111</v>
      </c>
      <c r="R28" s="773" t="s">
        <v>17</v>
      </c>
      <c r="S28" s="774">
        <f t="shared" ref="S28:S40" si="12">F28</f>
        <v>100</v>
      </c>
      <c r="T28" s="773" t="s">
        <v>17</v>
      </c>
      <c r="U28" s="774">
        <f t="shared" ref="U28:U40" si="13">H28</f>
        <v>100</v>
      </c>
      <c r="V28" s="773" t="s">
        <v>17</v>
      </c>
      <c r="W28" s="774">
        <f t="shared" ref="W28:W40" si="14">J28</f>
        <v>100</v>
      </c>
      <c r="X28" s="1811"/>
      <c r="Y28" s="3264"/>
      <c r="Z28" s="1812">
        <f t="shared" ref="Z28:Z40" si="15">Q28</f>
        <v>111</v>
      </c>
      <c r="AA28" s="1809">
        <f t="shared" si="3"/>
        <v>1</v>
      </c>
      <c r="AB28" s="1809">
        <f t="shared" si="4"/>
        <v>1</v>
      </c>
      <c r="AC28" s="1809">
        <f t="shared" si="5"/>
        <v>1</v>
      </c>
    </row>
    <row r="29" spans="1:29" ht="28.5">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90" t="s">
        <v>2555</v>
      </c>
      <c r="Q29" s="1808" t="str">
        <f t="shared" si="11"/>
        <v>建筑类型</v>
      </c>
      <c r="R29" s="773" t="s">
        <v>17</v>
      </c>
      <c r="S29" s="774">
        <f t="shared" si="12"/>
        <v>100</v>
      </c>
      <c r="T29" s="773" t="s">
        <v>17</v>
      </c>
      <c r="U29" s="774">
        <f t="shared" si="13"/>
        <v>100</v>
      </c>
      <c r="V29" s="773" t="s">
        <v>17</v>
      </c>
      <c r="W29" s="774">
        <f t="shared" si="14"/>
        <v>100</v>
      </c>
      <c r="X29" s="1811"/>
      <c r="Y29" s="3268" t="s">
        <v>2555</v>
      </c>
      <c r="Z29" s="1812" t="str">
        <f t="shared" si="15"/>
        <v>建筑类型</v>
      </c>
      <c r="AA29" s="1809">
        <f t="shared" si="3"/>
        <v>1</v>
      </c>
      <c r="AB29" s="1809">
        <f t="shared" si="4"/>
        <v>1</v>
      </c>
      <c r="AC29" s="1809">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8"/>
      <c r="Q30" s="775" t="str">
        <f t="shared" si="11"/>
        <v>项目建筑规模</v>
      </c>
      <c r="R30" s="776" t="s">
        <v>17</v>
      </c>
      <c r="S30" s="777" t="e">
        <f t="shared" si="12"/>
        <v>#N/A</v>
      </c>
      <c r="T30" s="776" t="s">
        <v>17</v>
      </c>
      <c r="U30" s="777" t="e">
        <f t="shared" si="13"/>
        <v>#N/A</v>
      </c>
      <c r="V30" s="776" t="s">
        <v>17</v>
      </c>
      <c r="W30" s="777" t="e">
        <f t="shared" si="14"/>
        <v>#N/A</v>
      </c>
      <c r="X30" s="778"/>
      <c r="Y30" s="3268"/>
      <c r="Z30" s="779" t="str">
        <f t="shared" si="15"/>
        <v>项目建筑规模</v>
      </c>
      <c r="AA30" s="1809" t="e">
        <f t="shared" si="3"/>
        <v>#N/A</v>
      </c>
      <c r="AB30" s="1809" t="e">
        <f t="shared" si="4"/>
        <v>#N/A</v>
      </c>
      <c r="AC30" s="1809"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8"/>
      <c r="Q31" s="1808" t="str">
        <f t="shared" si="11"/>
        <v>建筑结构</v>
      </c>
      <c r="R31" s="773" t="s">
        <v>17</v>
      </c>
      <c r="S31" s="774">
        <f t="shared" si="12"/>
        <v>100</v>
      </c>
      <c r="T31" s="773" t="s">
        <v>17</v>
      </c>
      <c r="U31" s="774">
        <f t="shared" si="13"/>
        <v>100</v>
      </c>
      <c r="V31" s="773" t="s">
        <v>17</v>
      </c>
      <c r="W31" s="774">
        <f t="shared" si="14"/>
        <v>100</v>
      </c>
      <c r="X31" s="1811"/>
      <c r="Y31" s="3268"/>
      <c r="Z31" s="1812" t="str">
        <f t="shared" si="15"/>
        <v>建筑结构</v>
      </c>
      <c r="AA31" s="1809">
        <f t="shared" si="3"/>
        <v>1</v>
      </c>
      <c r="AB31" s="1809">
        <f t="shared" si="4"/>
        <v>1</v>
      </c>
      <c r="AC31" s="1809">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8"/>
      <c r="Q32" s="1808" t="str">
        <f t="shared" si="11"/>
        <v>公共部分装修</v>
      </c>
      <c r="R32" s="773" t="s">
        <v>17</v>
      </c>
      <c r="S32" s="774">
        <f t="shared" si="12"/>
        <v>100</v>
      </c>
      <c r="T32" s="773" t="s">
        <v>17</v>
      </c>
      <c r="U32" s="774">
        <f t="shared" si="13"/>
        <v>100</v>
      </c>
      <c r="V32" s="773" t="s">
        <v>17</v>
      </c>
      <c r="W32" s="774">
        <f t="shared" si="14"/>
        <v>100</v>
      </c>
      <c r="X32" s="1811"/>
      <c r="Y32" s="3268"/>
      <c r="Z32" s="1812" t="str">
        <f t="shared" si="15"/>
        <v>公共部分装修</v>
      </c>
      <c r="AA32" s="1809">
        <f t="shared" si="3"/>
        <v>1</v>
      </c>
      <c r="AB32" s="1809">
        <f t="shared" si="4"/>
        <v>1</v>
      </c>
      <c r="AC32" s="1809">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8"/>
      <c r="Q33" s="1808" t="str">
        <f t="shared" si="11"/>
        <v>成新度</v>
      </c>
      <c r="R33" s="773" t="s">
        <v>17</v>
      </c>
      <c r="S33" s="774" t="e">
        <f t="shared" si="12"/>
        <v>#N/A</v>
      </c>
      <c r="T33" s="773" t="s">
        <v>17</v>
      </c>
      <c r="U33" s="774" t="e">
        <f t="shared" si="13"/>
        <v>#N/A</v>
      </c>
      <c r="V33" s="773" t="s">
        <v>17</v>
      </c>
      <c r="W33" s="774" t="e">
        <f t="shared" si="14"/>
        <v>#N/A</v>
      </c>
      <c r="X33" s="1811"/>
      <c r="Y33" s="3268"/>
      <c r="Z33" s="1812" t="str">
        <f t="shared" si="15"/>
        <v>成新度</v>
      </c>
      <c r="AA33" s="1809" t="e">
        <f t="shared" si="3"/>
        <v>#N/A</v>
      </c>
      <c r="AB33" s="1809" t="e">
        <f t="shared" si="4"/>
        <v>#N/A</v>
      </c>
      <c r="AC33" s="1809"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8"/>
      <c r="Q34" s="1793" t="str">
        <f t="shared" si="11"/>
        <v>物业管理</v>
      </c>
      <c r="R34" s="769" t="s">
        <v>17</v>
      </c>
      <c r="S34" s="770">
        <f t="shared" si="12"/>
        <v>100</v>
      </c>
      <c r="T34" s="769" t="s">
        <v>17</v>
      </c>
      <c r="U34" s="770">
        <f t="shared" si="13"/>
        <v>100</v>
      </c>
      <c r="V34" s="769" t="s">
        <v>17</v>
      </c>
      <c r="W34" s="770">
        <f t="shared" si="14"/>
        <v>100</v>
      </c>
      <c r="X34" s="771"/>
      <c r="Y34" s="3268"/>
      <c r="Z34" s="55" t="str">
        <f t="shared" si="15"/>
        <v>物业管理</v>
      </c>
      <c r="AA34" s="772">
        <f t="shared" si="3"/>
        <v>1</v>
      </c>
      <c r="AB34" s="772">
        <f t="shared" si="4"/>
        <v>1</v>
      </c>
      <c r="AC34" s="772">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8" t="s">
        <v>2555</v>
      </c>
      <c r="Q35" s="1808" t="str">
        <f t="shared" si="11"/>
        <v>市政基础设施</v>
      </c>
      <c r="R35" s="773" t="s">
        <v>17</v>
      </c>
      <c r="S35" s="774">
        <f t="shared" si="12"/>
        <v>100</v>
      </c>
      <c r="T35" s="773" t="s">
        <v>17</v>
      </c>
      <c r="U35" s="774">
        <f t="shared" si="13"/>
        <v>100</v>
      </c>
      <c r="V35" s="773" t="s">
        <v>17</v>
      </c>
      <c r="W35" s="774">
        <f t="shared" si="14"/>
        <v>100</v>
      </c>
      <c r="X35" s="1811"/>
      <c r="Y35" s="3268" t="s">
        <v>2555</v>
      </c>
      <c r="Z35" s="1812" t="str">
        <f t="shared" si="15"/>
        <v>市政基础设施</v>
      </c>
      <c r="AA35" s="1809">
        <f t="shared" si="3"/>
        <v>1</v>
      </c>
      <c r="AB35" s="1809">
        <f t="shared" si="4"/>
        <v>1</v>
      </c>
      <c r="AC35" s="1809">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8"/>
      <c r="Q36" s="1808" t="str">
        <f t="shared" si="11"/>
        <v>内部装修</v>
      </c>
      <c r="R36" s="773" t="s">
        <v>17</v>
      </c>
      <c r="S36" s="774">
        <f t="shared" si="12"/>
        <v>100</v>
      </c>
      <c r="T36" s="773" t="s">
        <v>17</v>
      </c>
      <c r="U36" s="774">
        <f t="shared" si="13"/>
        <v>100</v>
      </c>
      <c r="V36" s="773" t="s">
        <v>17</v>
      </c>
      <c r="W36" s="774">
        <f t="shared" si="14"/>
        <v>100</v>
      </c>
      <c r="X36" s="1811"/>
      <c r="Y36" s="3268"/>
      <c r="Z36" s="1812" t="str">
        <f t="shared" si="15"/>
        <v>内部装修</v>
      </c>
      <c r="AA36" s="1809">
        <f t="shared" si="3"/>
        <v>1</v>
      </c>
      <c r="AB36" s="1809">
        <f t="shared" si="4"/>
        <v>1</v>
      </c>
      <c r="AC36" s="1809">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8"/>
      <c r="Q37" s="1808" t="str">
        <f t="shared" si="11"/>
        <v>内部装修状况</v>
      </c>
      <c r="R37" s="773" t="s">
        <v>17</v>
      </c>
      <c r="S37" s="774">
        <f t="shared" si="12"/>
        <v>100</v>
      </c>
      <c r="T37" s="773" t="s">
        <v>17</v>
      </c>
      <c r="U37" s="774">
        <f t="shared" si="13"/>
        <v>100</v>
      </c>
      <c r="V37" s="773" t="s">
        <v>17</v>
      </c>
      <c r="W37" s="774">
        <f t="shared" si="14"/>
        <v>100</v>
      </c>
      <c r="X37" s="1811"/>
      <c r="Y37" s="3268"/>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8"/>
      <c r="Q38" s="775">
        <f t="shared" si="11"/>
        <v>111</v>
      </c>
      <c r="R38" s="776" t="s">
        <v>17</v>
      </c>
      <c r="S38" s="777">
        <f t="shared" si="12"/>
        <v>100</v>
      </c>
      <c r="T38" s="776" t="s">
        <v>17</v>
      </c>
      <c r="U38" s="777">
        <f t="shared" si="13"/>
        <v>100</v>
      </c>
      <c r="V38" s="776" t="s">
        <v>17</v>
      </c>
      <c r="W38" s="777">
        <f t="shared" si="14"/>
        <v>100</v>
      </c>
      <c r="X38" s="778"/>
      <c r="Y38" s="3268"/>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8"/>
      <c r="Q39" s="1808">
        <f t="shared" si="11"/>
        <v>111</v>
      </c>
      <c r="R39" s="773" t="s">
        <v>17</v>
      </c>
      <c r="S39" s="774">
        <f t="shared" si="12"/>
        <v>100</v>
      </c>
      <c r="T39" s="773" t="s">
        <v>17</v>
      </c>
      <c r="U39" s="774">
        <f t="shared" si="13"/>
        <v>100</v>
      </c>
      <c r="V39" s="773" t="s">
        <v>17</v>
      </c>
      <c r="W39" s="774">
        <f t="shared" si="14"/>
        <v>100</v>
      </c>
      <c r="X39" s="1811"/>
      <c r="Y39" s="3268"/>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9"/>
      <c r="Q40" s="1808">
        <f t="shared" si="11"/>
        <v>111</v>
      </c>
      <c r="R40" s="773" t="s">
        <v>17</v>
      </c>
      <c r="S40" s="774">
        <f t="shared" si="12"/>
        <v>100</v>
      </c>
      <c r="T40" s="773" t="s">
        <v>17</v>
      </c>
      <c r="U40" s="774">
        <f t="shared" si="13"/>
        <v>100</v>
      </c>
      <c r="V40" s="773" t="s">
        <v>17</v>
      </c>
      <c r="W40" s="774">
        <f t="shared" si="14"/>
        <v>100</v>
      </c>
      <c r="X40" s="1811"/>
      <c r="Y40" s="3269"/>
      <c r="Z40" s="1812">
        <f t="shared" si="15"/>
        <v>111</v>
      </c>
      <c r="AA40" s="1809">
        <f t="shared" si="3"/>
        <v>1</v>
      </c>
      <c r="AB40" s="1809">
        <f t="shared" si="4"/>
        <v>1</v>
      </c>
      <c r="AC40" s="1809">
        <f t="shared" si="5"/>
        <v>1</v>
      </c>
    </row>
    <row r="41" spans="1:29" ht="15">
      <c r="A41" s="479" t="s">
        <v>2567</v>
      </c>
      <c r="B41" s="480"/>
      <c r="C41" s="1405" t="s">
        <v>1</v>
      </c>
      <c r="D41" s="1406"/>
      <c r="E41" s="1407"/>
      <c r="F41" s="1408"/>
      <c r="G41" s="1409"/>
      <c r="H41" s="1410"/>
      <c r="I41" s="1407"/>
      <c r="J41" s="1410"/>
      <c r="K41" s="782"/>
      <c r="L41" s="1142"/>
      <c r="M41" s="1143"/>
      <c r="N41" s="1130"/>
      <c r="O41" s="1143"/>
      <c r="P41" s="3261" t="str">
        <f>A41</f>
        <v>成交单价（元/平方米）</v>
      </c>
      <c r="Q41" s="3261"/>
      <c r="R41" s="3262">
        <f>E41</f>
        <v>0</v>
      </c>
      <c r="S41" s="3262"/>
      <c r="T41" s="3262">
        <f>G41</f>
        <v>0</v>
      </c>
      <c r="U41" s="3262"/>
      <c r="V41" s="3262">
        <f>I41</f>
        <v>0</v>
      </c>
      <c r="W41" s="3262"/>
      <c r="X41" s="758"/>
      <c r="Y41" s="780"/>
      <c r="Z41" s="758"/>
      <c r="AA41" s="758"/>
      <c r="AB41" s="758"/>
      <c r="AC41" s="758"/>
    </row>
    <row r="42" spans="1:29" ht="15.75" thickBot="1">
      <c r="A42" s="486" t="s">
        <v>2659</v>
      </c>
      <c r="B42" s="487"/>
      <c r="C42" s="1411" t="e">
        <f>R43</f>
        <v>#DIV/0!</v>
      </c>
      <c r="D42" s="1412"/>
      <c r="E42" s="1413" t="e">
        <f>R42</f>
        <v>#DIV/0!</v>
      </c>
      <c r="F42" s="1413"/>
      <c r="G42" s="1411" t="e">
        <f>T42</f>
        <v>#DIV/0!</v>
      </c>
      <c r="H42" s="1412"/>
      <c r="I42" s="1413" t="e">
        <f>V42</f>
        <v>#DIV/0!</v>
      </c>
      <c r="J42" s="1412"/>
      <c r="K42" s="783"/>
      <c r="L42" s="1142"/>
      <c r="M42" s="1143"/>
      <c r="N42" s="1130"/>
      <c r="O42" s="1143"/>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8"/>
      <c r="Y42" s="758"/>
      <c r="Z42" s="758"/>
      <c r="AA42" s="758"/>
      <c r="AB42" s="758"/>
      <c r="AC42" s="758"/>
    </row>
    <row r="43" spans="1:29" ht="15.75" thickBot="1">
      <c r="A43" s="492" t="s">
        <v>2660</v>
      </c>
      <c r="B43" s="493"/>
      <c r="C43" s="1415" t="e">
        <f>R43</f>
        <v>#DIV/0!</v>
      </c>
      <c r="D43" s="1415"/>
      <c r="E43" s="1415"/>
      <c r="F43" s="1415"/>
      <c r="G43" s="1415"/>
      <c r="H43" s="1415"/>
      <c r="I43" s="1415"/>
      <c r="J43" s="1415"/>
      <c r="K43" s="784"/>
      <c r="L43" s="1142"/>
      <c r="M43" s="1143"/>
      <c r="N43" s="1143"/>
      <c r="O43" s="1143"/>
      <c r="P43" s="3258" t="str">
        <f>A43</f>
        <v>估价对象XX用房的比较价值（楼面单价，元/平方米）</v>
      </c>
      <c r="Q43" s="3259"/>
      <c r="R43" s="3260" t="e">
        <f>IF(F1="售价",ROUND(AVERAGE(R42:V42),0),ROUND(AVERAGE(R42:V42),1))</f>
        <v>#DIV/0!</v>
      </c>
      <c r="S43" s="3260"/>
      <c r="T43" s="3260"/>
      <c r="U43" s="3260"/>
      <c r="V43" s="3260"/>
      <c r="W43" s="326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2664</v>
      </c>
      <c r="B51" s="758"/>
      <c r="C51" s="763"/>
      <c r="D51" s="763"/>
      <c r="E51" s="763"/>
      <c r="F51" s="764"/>
      <c r="G51" s="764"/>
      <c r="H51" s="763"/>
      <c r="I51" s="763"/>
      <c r="J51" s="763"/>
      <c r="K51" s="1159"/>
      <c r="L51" s="1160"/>
      <c r="M51" s="1158"/>
      <c r="N51" s="1158"/>
      <c r="O51" s="1158"/>
      <c r="P51" s="503"/>
      <c r="Q51" s="504"/>
    </row>
    <row r="52" spans="1:17" s="508" customFormat="1" ht="15">
      <c r="A52" s="505" t="s">
        <v>2538</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2578</v>
      </c>
      <c r="B57" s="528" t="s">
        <v>2544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2"/>
      <c r="B87" s="569"/>
      <c r="C87" s="570"/>
      <c r="D87" s="570"/>
      <c r="E87" s="570"/>
      <c r="F87" s="570"/>
      <c r="G87" s="591"/>
      <c r="H87" s="591"/>
      <c r="I87" s="591"/>
      <c r="J87" s="591"/>
      <c r="K87" s="591"/>
      <c r="L87" s="591"/>
      <c r="M87" s="592"/>
      <c r="N87" s="1152"/>
      <c r="O87" s="1152"/>
      <c r="P87" s="45"/>
      <c r="Q87" s="504"/>
    </row>
    <row r="88" spans="1:17">
      <c r="A88" s="527" t="s">
        <v>2553</v>
      </c>
      <c r="B88" s="528" t="s">
        <v>2602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0"/>
      <c r="F1" s="2580"/>
      <c r="G1" s="1621" t="s">
        <v>2633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2317</v>
      </c>
      <c r="B2" s="1416" t="e">
        <f ca="1">IF(C2="——",IF(B37="元/平方米",ROUND(C39*D3/10000,0),ROUND(F3*C39/10000,0)),IF(B37="元/平方米",ROUND(C39*D3/10000,0),ROUND(F3*C39/10000,0))-D2)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2635</v>
      </c>
      <c r="B4" s="402"/>
      <c r="C4" s="3244" t="s">
        <v>2636</v>
      </c>
      <c r="D4" s="3245"/>
      <c r="E4" s="3246" t="s">
        <v>2637</v>
      </c>
      <c r="F4" s="3247"/>
      <c r="G4" s="3244" t="s">
        <v>2638</v>
      </c>
      <c r="H4" s="3245"/>
      <c r="I4" s="3244" t="s">
        <v>2639</v>
      </c>
      <c r="J4" s="3245"/>
      <c r="K4" s="610" t="s">
        <v>2640</v>
      </c>
      <c r="L4" s="1129"/>
      <c r="M4" s="1130"/>
      <c r="N4" s="1130"/>
      <c r="O4" s="1130"/>
      <c r="P4" s="3248" t="s">
        <v>2641</v>
      </c>
      <c r="Q4" s="3249"/>
      <c r="R4" s="3231" t="s">
        <v>2637</v>
      </c>
      <c r="S4" s="3232"/>
      <c r="T4" s="3231" t="s">
        <v>2638</v>
      </c>
      <c r="U4" s="3232"/>
      <c r="V4" s="3256" t="s">
        <v>2639</v>
      </c>
      <c r="W4" s="3256"/>
      <c r="X4" s="1811"/>
      <c r="Y4" s="3231" t="s">
        <v>2641</v>
      </c>
      <c r="Z4" s="3232"/>
      <c r="AA4" s="3226" t="s">
        <v>2637</v>
      </c>
      <c r="AB4" s="3227" t="s">
        <v>2638</v>
      </c>
      <c r="AC4" s="3226" t="s">
        <v>2639</v>
      </c>
    </row>
    <row r="5" spans="1:29" ht="15">
      <c r="A5" s="404"/>
      <c r="B5" s="405"/>
      <c r="C5" s="3237" t="s">
        <v>2532</v>
      </c>
      <c r="D5" s="3238"/>
      <c r="E5" s="3235" t="s">
        <v>2533</v>
      </c>
      <c r="F5" s="3236"/>
      <c r="G5" s="3237" t="s">
        <v>2534</v>
      </c>
      <c r="H5" s="3238"/>
      <c r="I5" s="3237" t="s">
        <v>2535</v>
      </c>
      <c r="J5" s="3238"/>
      <c r="K5" s="610"/>
      <c r="L5" s="1129"/>
      <c r="M5" s="1130"/>
      <c r="N5" s="1130"/>
      <c r="O5" s="1130"/>
      <c r="P5" s="3250"/>
      <c r="Q5" s="3251"/>
      <c r="R5" s="3233"/>
      <c r="S5" s="3234"/>
      <c r="T5" s="3233"/>
      <c r="U5" s="3234"/>
      <c r="V5" s="3256"/>
      <c r="W5" s="3256"/>
      <c r="X5" s="1811"/>
      <c r="Y5" s="3233"/>
      <c r="Z5" s="3234"/>
      <c r="AA5" s="3227"/>
      <c r="AB5" s="3227"/>
      <c r="AC5" s="3227"/>
    </row>
    <row r="6" spans="1:29" ht="15.75" thickBot="1">
      <c r="A6" s="406"/>
      <c r="B6" s="407"/>
      <c r="C6" s="3239" t="s">
        <v>2536</v>
      </c>
      <c r="D6" s="3240"/>
      <c r="E6" s="3241" t="s">
        <v>2536</v>
      </c>
      <c r="F6" s="3242"/>
      <c r="G6" s="3239" t="s">
        <v>2536</v>
      </c>
      <c r="H6" s="3240"/>
      <c r="I6" s="3239" t="s">
        <v>2536</v>
      </c>
      <c r="J6" s="3240"/>
      <c r="K6" s="610" t="s">
        <v>2537</v>
      </c>
      <c r="L6" s="1129"/>
      <c r="M6" s="1130"/>
      <c r="N6" s="1130"/>
      <c r="O6" s="1130"/>
      <c r="P6" s="3252"/>
      <c r="Q6" s="3253"/>
      <c r="R6" s="3233"/>
      <c r="S6" s="3234"/>
      <c r="T6" s="3254"/>
      <c r="U6" s="3255"/>
      <c r="V6" s="3256"/>
      <c r="W6" s="3256"/>
      <c r="X6" s="1811"/>
      <c r="Y6" s="3254"/>
      <c r="Z6" s="3255"/>
      <c r="AA6" s="3228"/>
      <c r="AB6" s="3228"/>
      <c r="AC6" s="3228"/>
    </row>
    <row r="7" spans="1:29" s="117" customFormat="1" ht="15.75" thickBot="1">
      <c r="A7" s="408" t="s">
        <v>2538</v>
      </c>
      <c r="B7" s="409"/>
      <c r="C7" s="410">
        <f>'数据-取费表'!B2</f>
        <v>43718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9" t="s">
        <v>2539</v>
      </c>
      <c r="Q7" s="3257"/>
      <c r="R7" s="769" t="s">
        <v>17</v>
      </c>
      <c r="S7" s="770">
        <f t="shared" ref="S7:S14" si="0">F7</f>
        <v>0</v>
      </c>
      <c r="T7" s="769" t="s">
        <v>17</v>
      </c>
      <c r="U7" s="770">
        <f t="shared" ref="U7:U14" si="1">H7</f>
        <v>0</v>
      </c>
      <c r="V7" s="769" t="s">
        <v>17</v>
      </c>
      <c r="W7" s="770">
        <f t="shared" ref="W7:W14" si="2">J7</f>
        <v>0</v>
      </c>
      <c r="X7" s="771"/>
      <c r="Y7" s="3229" t="s">
        <v>2539</v>
      </c>
      <c r="Z7" s="3230"/>
      <c r="AA7" s="772" t="e">
        <f>D7/F7</f>
        <v>#DIV/0!</v>
      </c>
      <c r="AB7" s="772" t="e">
        <f>D7/H7</f>
        <v>#DIV/0!</v>
      </c>
      <c r="AC7" s="772"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9" t="s">
        <v>2542</v>
      </c>
      <c r="Q8" s="3230"/>
      <c r="R8" s="769" t="s">
        <v>17</v>
      </c>
      <c r="S8" s="770">
        <f t="shared" si="0"/>
        <v>0</v>
      </c>
      <c r="T8" s="769" t="s">
        <v>17</v>
      </c>
      <c r="U8" s="770">
        <f t="shared" si="1"/>
        <v>0</v>
      </c>
      <c r="V8" s="769" t="s">
        <v>17</v>
      </c>
      <c r="W8" s="770">
        <f t="shared" si="2"/>
        <v>0</v>
      </c>
      <c r="X8" s="771"/>
      <c r="Y8" s="3229" t="s">
        <v>2542</v>
      </c>
      <c r="Z8" s="3230"/>
      <c r="AA8" s="772" t="e">
        <f t="shared" ref="AA8:AA36" si="3">D8/F8</f>
        <v>#DIV/0!</v>
      </c>
      <c r="AB8" s="772" t="e">
        <f t="shared" ref="AB8:AB36" si="4">D8/H8</f>
        <v>#DIV/0!</v>
      </c>
      <c r="AC8" s="772"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61" t="s">
        <v>2545</v>
      </c>
      <c r="Q9" s="1793" t="str">
        <f t="shared" ref="Q9:Q14" si="6">B9</f>
        <v>用途</v>
      </c>
      <c r="R9" s="769" t="s">
        <v>17</v>
      </c>
      <c r="S9" s="770">
        <f t="shared" si="0"/>
        <v>100</v>
      </c>
      <c r="T9" s="769" t="s">
        <v>17</v>
      </c>
      <c r="U9" s="770">
        <f t="shared" si="1"/>
        <v>100</v>
      </c>
      <c r="V9" s="769" t="s">
        <v>17</v>
      </c>
      <c r="W9" s="770">
        <f t="shared" si="2"/>
        <v>100</v>
      </c>
      <c r="X9" s="771"/>
      <c r="Y9" s="3076" t="s">
        <v>2546</v>
      </c>
      <c r="Z9" s="55" t="str">
        <f t="shared" ref="Z9:Z14" si="7">Q9</f>
        <v>用途</v>
      </c>
      <c r="AA9" s="772">
        <f t="shared" si="3"/>
        <v>1</v>
      </c>
      <c r="AB9" s="772">
        <f t="shared" si="4"/>
        <v>1</v>
      </c>
      <c r="AC9" s="772">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61"/>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61"/>
      <c r="Q11" s="1793">
        <f t="shared" si="6"/>
        <v>111</v>
      </c>
      <c r="R11" s="769" t="s">
        <v>17</v>
      </c>
      <c r="S11" s="770">
        <f t="shared" si="0"/>
        <v>100</v>
      </c>
      <c r="T11" s="769" t="s">
        <v>17</v>
      </c>
      <c r="U11" s="770">
        <f t="shared" si="1"/>
        <v>100</v>
      </c>
      <c r="V11" s="769" t="s">
        <v>17</v>
      </c>
      <c r="W11" s="770">
        <f t="shared" si="2"/>
        <v>100</v>
      </c>
      <c r="X11" s="771"/>
      <c r="Y11" s="307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61"/>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61"/>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256.5">
      <c r="A14" s="401" t="s">
        <v>2549</v>
      </c>
      <c r="B14" s="62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63" t="s">
        <v>2550</v>
      </c>
      <c r="Q14" s="1808" t="str">
        <f t="shared" si="6"/>
        <v>交通便捷度</v>
      </c>
      <c r="R14" s="773" t="s">
        <v>17</v>
      </c>
      <c r="S14" s="774">
        <f t="shared" si="0"/>
        <v>100</v>
      </c>
      <c r="T14" s="773" t="s">
        <v>17</v>
      </c>
      <c r="U14" s="774">
        <f t="shared" si="1"/>
        <v>100</v>
      </c>
      <c r="V14" s="773" t="s">
        <v>17</v>
      </c>
      <c r="W14" s="774">
        <f t="shared" si="2"/>
        <v>100</v>
      </c>
      <c r="X14" s="1811"/>
      <c r="Y14" s="3263" t="s">
        <v>2550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64"/>
      <c r="Q15" s="1808"/>
      <c r="R15" s="773"/>
      <c r="S15" s="774"/>
      <c r="T15" s="773"/>
      <c r="U15" s="774"/>
      <c r="V15" s="773"/>
      <c r="W15" s="774"/>
      <c r="X15" s="1811"/>
      <c r="Y15" s="3264"/>
      <c r="Z15" s="1812"/>
      <c r="AA15" s="1809">
        <v>1</v>
      </c>
      <c r="AB15" s="1809">
        <v>1</v>
      </c>
      <c r="AC15" s="1809">
        <v>1</v>
      </c>
    </row>
    <row r="16" spans="1:29" ht="242.25">
      <c r="A16" s="404"/>
      <c r="B16" s="63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4"/>
      <c r="Q16" s="1808" t="str">
        <f>B16</f>
        <v>公共配套设施</v>
      </c>
      <c r="R16" s="773" t="s">
        <v>17</v>
      </c>
      <c r="S16" s="774">
        <f>F16</f>
        <v>100</v>
      </c>
      <c r="T16" s="773" t="s">
        <v>17</v>
      </c>
      <c r="U16" s="774">
        <f>H16</f>
        <v>100</v>
      </c>
      <c r="V16" s="773" t="s">
        <v>17</v>
      </c>
      <c r="W16" s="774">
        <f>J16</f>
        <v>100</v>
      </c>
      <c r="X16" s="1811"/>
      <c r="Y16" s="3264"/>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9"/>
      <c r="M17" s="1130"/>
      <c r="N17" s="1130"/>
      <c r="O17" s="1130"/>
      <c r="P17" s="3264"/>
      <c r="Q17" s="1808"/>
      <c r="R17" s="773"/>
      <c r="S17" s="774"/>
      <c r="T17" s="773"/>
      <c r="U17" s="774"/>
      <c r="V17" s="773"/>
      <c r="W17" s="774"/>
      <c r="X17" s="1811"/>
      <c r="Y17" s="3264"/>
      <c r="Z17" s="1812"/>
      <c r="AA17" s="1809">
        <v>1</v>
      </c>
      <c r="AB17" s="1809">
        <v>1</v>
      </c>
      <c r="AC17" s="1809">
        <v>1</v>
      </c>
    </row>
    <row r="18" spans="1:29" ht="28.5">
      <c r="A18" s="404"/>
      <c r="B18" s="633" t="s">
        <v>2679</v>
      </c>
      <c r="C18" s="2603"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4"/>
      <c r="Q18" s="1808" t="str">
        <f>B18</f>
        <v>基础设施水平</v>
      </c>
      <c r="R18" s="773" t="s">
        <v>17</v>
      </c>
      <c r="S18" s="774">
        <f>F18</f>
        <v>100</v>
      </c>
      <c r="T18" s="773" t="s">
        <v>17</v>
      </c>
      <c r="U18" s="774">
        <f>H18</f>
        <v>100</v>
      </c>
      <c r="V18" s="773" t="s">
        <v>17</v>
      </c>
      <c r="W18" s="774">
        <f>J18</f>
        <v>100</v>
      </c>
      <c r="X18" s="1811"/>
      <c r="Y18" s="3264"/>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9"/>
      <c r="M19" s="1130"/>
      <c r="N19" s="1130"/>
      <c r="O19" s="1130"/>
      <c r="P19" s="3264"/>
      <c r="Q19" s="1808"/>
      <c r="R19" s="773"/>
      <c r="S19" s="774"/>
      <c r="T19" s="773"/>
      <c r="U19" s="774"/>
      <c r="V19" s="773"/>
      <c r="W19" s="774"/>
      <c r="X19" s="1811"/>
      <c r="Y19" s="3264"/>
      <c r="Z19" s="1812"/>
      <c r="AA19" s="1809">
        <v>1</v>
      </c>
      <c r="AB19" s="1809">
        <v>1</v>
      </c>
      <c r="AC19" s="1809">
        <v>1</v>
      </c>
    </row>
    <row r="20" spans="1:29" ht="199.5">
      <c r="A20" s="404"/>
      <c r="B20" s="63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4"/>
      <c r="Q20" s="1808" t="str">
        <f>B20</f>
        <v>自然及人文环境</v>
      </c>
      <c r="R20" s="773" t="s">
        <v>17</v>
      </c>
      <c r="S20" s="774">
        <f>F20</f>
        <v>100</v>
      </c>
      <c r="T20" s="773" t="s">
        <v>17</v>
      </c>
      <c r="U20" s="774">
        <f>H20</f>
        <v>100</v>
      </c>
      <c r="V20" s="773" t="s">
        <v>17</v>
      </c>
      <c r="W20" s="774">
        <f>J20</f>
        <v>100</v>
      </c>
      <c r="X20" s="1811"/>
      <c r="Y20" s="326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64"/>
      <c r="Q21" s="1808"/>
      <c r="R21" s="773"/>
      <c r="S21" s="774"/>
      <c r="T21" s="773"/>
      <c r="U21" s="774"/>
      <c r="V21" s="773"/>
      <c r="W21" s="774"/>
      <c r="X21" s="1811"/>
      <c r="Y21" s="3264"/>
      <c r="Z21" s="1812"/>
      <c r="AA21" s="1809">
        <v>1</v>
      </c>
      <c r="AB21" s="1809">
        <v>1</v>
      </c>
      <c r="AC21" s="1809">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4"/>
      <c r="Q22" s="1808" t="str">
        <f>B22</f>
        <v>楼层</v>
      </c>
      <c r="R22" s="773" t="s">
        <v>17</v>
      </c>
      <c r="S22" s="774">
        <f>F22</f>
        <v>100</v>
      </c>
      <c r="T22" s="773" t="s">
        <v>17</v>
      </c>
      <c r="U22" s="774">
        <f>H22</f>
        <v>100</v>
      </c>
      <c r="V22" s="773" t="s">
        <v>17</v>
      </c>
      <c r="W22" s="774">
        <f>J22</f>
        <v>100</v>
      </c>
      <c r="X22" s="1811"/>
      <c r="Y22" s="326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4"/>
      <c r="Q23" s="1808">
        <f>B23</f>
        <v>111</v>
      </c>
      <c r="R23" s="773" t="s">
        <v>17</v>
      </c>
      <c r="S23" s="774">
        <f>F23</f>
        <v>100</v>
      </c>
      <c r="T23" s="773" t="s">
        <v>17</v>
      </c>
      <c r="U23" s="774">
        <f>H23</f>
        <v>100</v>
      </c>
      <c r="V23" s="773" t="s">
        <v>17</v>
      </c>
      <c r="W23" s="774">
        <f>J23</f>
        <v>100</v>
      </c>
      <c r="X23" s="1811"/>
      <c r="Y23" s="326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4"/>
      <c r="Q24" s="1808">
        <f t="shared" ref="Q24:Q36" si="11">B24</f>
        <v>111</v>
      </c>
      <c r="R24" s="773" t="s">
        <v>17</v>
      </c>
      <c r="S24" s="774">
        <f>F24</f>
        <v>100</v>
      </c>
      <c r="T24" s="773" t="s">
        <v>17</v>
      </c>
      <c r="U24" s="774">
        <f>H24</f>
        <v>100</v>
      </c>
      <c r="V24" s="773" t="s">
        <v>17</v>
      </c>
      <c r="W24" s="774">
        <f>J24</f>
        <v>100</v>
      </c>
      <c r="X24" s="1811"/>
      <c r="Y24" s="326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4"/>
      <c r="Q25" s="1793">
        <f t="shared" si="11"/>
        <v>111</v>
      </c>
      <c r="R25" s="769" t="s">
        <v>17</v>
      </c>
      <c r="S25" s="770">
        <f>F25</f>
        <v>100</v>
      </c>
      <c r="T25" s="769" t="s">
        <v>17</v>
      </c>
      <c r="U25" s="770">
        <f>H25</f>
        <v>100</v>
      </c>
      <c r="V25" s="769" t="s">
        <v>17</v>
      </c>
      <c r="W25" s="770">
        <f>J25</f>
        <v>100</v>
      </c>
      <c r="X25" s="771"/>
      <c r="Y25" s="3264"/>
      <c r="Z25" s="55">
        <f>Q25</f>
        <v>111</v>
      </c>
      <c r="AA25" s="1809">
        <f>D25/F25</f>
        <v>1</v>
      </c>
      <c r="AB25" s="1809">
        <f>D25/H25</f>
        <v>1</v>
      </c>
      <c r="AC25" s="1809">
        <f>D25/J25</f>
        <v>1</v>
      </c>
    </row>
    <row r="26" spans="1:29" ht="28.5">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0" t="s">
        <v>2555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8" t="s">
        <v>2555</v>
      </c>
      <c r="Z26" s="1812" t="str">
        <f t="shared" ref="Z26:Z36" si="15">Q26</f>
        <v>配套类型</v>
      </c>
      <c r="AA26" s="1809">
        <f t="shared" si="3"/>
        <v>1</v>
      </c>
      <c r="AB26" s="1809">
        <f t="shared" si="4"/>
        <v>1</v>
      </c>
      <c r="AC26" s="1809">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8"/>
      <c r="Q27" s="775" t="str">
        <f t="shared" si="11"/>
        <v>项目停车位配比</v>
      </c>
      <c r="R27" s="776" t="s">
        <v>17</v>
      </c>
      <c r="S27" s="777">
        <f t="shared" si="12"/>
        <v>100</v>
      </c>
      <c r="T27" s="776" t="s">
        <v>17</v>
      </c>
      <c r="U27" s="777">
        <f t="shared" si="13"/>
        <v>100</v>
      </c>
      <c r="V27" s="776" t="s">
        <v>17</v>
      </c>
      <c r="W27" s="777">
        <f t="shared" si="14"/>
        <v>100</v>
      </c>
      <c r="X27" s="778"/>
      <c r="Y27" s="3268"/>
      <c r="Z27" s="779" t="str">
        <f t="shared" si="15"/>
        <v>项目停车位配比</v>
      </c>
      <c r="AA27" s="1809">
        <f t="shared" si="3"/>
        <v>1</v>
      </c>
      <c r="AB27" s="1809">
        <f t="shared" si="4"/>
        <v>1</v>
      </c>
      <c r="AC27" s="1809">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8"/>
      <c r="Q28" s="1808" t="str">
        <f t="shared" si="11"/>
        <v>公共部分装修</v>
      </c>
      <c r="R28" s="773" t="s">
        <v>17</v>
      </c>
      <c r="S28" s="774">
        <f t="shared" si="12"/>
        <v>100</v>
      </c>
      <c r="T28" s="773" t="s">
        <v>17</v>
      </c>
      <c r="U28" s="774">
        <f t="shared" si="13"/>
        <v>100</v>
      </c>
      <c r="V28" s="773" t="s">
        <v>17</v>
      </c>
      <c r="W28" s="774">
        <f t="shared" si="14"/>
        <v>100</v>
      </c>
      <c r="X28" s="1811"/>
      <c r="Y28" s="3268"/>
      <c r="Z28" s="1812" t="str">
        <f t="shared" si="15"/>
        <v>公共部分装修</v>
      </c>
      <c r="AA28" s="1809">
        <f t="shared" si="3"/>
        <v>1</v>
      </c>
      <c r="AB28" s="1809">
        <f t="shared" si="4"/>
        <v>1</v>
      </c>
      <c r="AC28" s="1809">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8"/>
      <c r="Q29" s="1808" t="str">
        <f t="shared" si="11"/>
        <v>成新率</v>
      </c>
      <c r="R29" s="773" t="s">
        <v>17</v>
      </c>
      <c r="S29" s="774" t="e">
        <f t="shared" si="12"/>
        <v>#N/A</v>
      </c>
      <c r="T29" s="773" t="s">
        <v>17</v>
      </c>
      <c r="U29" s="774" t="e">
        <f t="shared" si="13"/>
        <v>#N/A</v>
      </c>
      <c r="V29" s="773" t="s">
        <v>17</v>
      </c>
      <c r="W29" s="774" t="e">
        <f t="shared" si="14"/>
        <v>#N/A</v>
      </c>
      <c r="X29" s="1811"/>
      <c r="Y29" s="3268"/>
      <c r="Z29" s="1812" t="str">
        <f t="shared" si="15"/>
        <v>成新率</v>
      </c>
      <c r="AA29" s="1809" t="e">
        <f t="shared" si="3"/>
        <v>#N/A</v>
      </c>
      <c r="AB29" s="1809" t="e">
        <f t="shared" si="4"/>
        <v>#N/A</v>
      </c>
      <c r="AC29" s="1809"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8"/>
      <c r="Q30" s="1808" t="str">
        <f t="shared" si="11"/>
        <v>物业等级</v>
      </c>
      <c r="R30" s="773" t="s">
        <v>17</v>
      </c>
      <c r="S30" s="774">
        <f t="shared" si="12"/>
        <v>100</v>
      </c>
      <c r="T30" s="773" t="s">
        <v>17</v>
      </c>
      <c r="U30" s="774">
        <f t="shared" si="13"/>
        <v>100</v>
      </c>
      <c r="V30" s="773" t="s">
        <v>17</v>
      </c>
      <c r="W30" s="774">
        <f t="shared" si="14"/>
        <v>100</v>
      </c>
      <c r="X30" s="1811"/>
      <c r="Y30" s="3268"/>
      <c r="Z30" s="1812" t="str">
        <f t="shared" si="15"/>
        <v>物业等级</v>
      </c>
      <c r="AA30" s="1809">
        <f t="shared" si="3"/>
        <v>1</v>
      </c>
      <c r="AB30" s="1809">
        <f t="shared" si="4"/>
        <v>1</v>
      </c>
      <c r="AC30" s="1809">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8"/>
      <c r="Q31" s="1793" t="str">
        <f t="shared" si="11"/>
        <v>停车位面积</v>
      </c>
      <c r="R31" s="769" t="s">
        <v>17</v>
      </c>
      <c r="S31" s="770" t="e">
        <f t="shared" si="12"/>
        <v>#N/A</v>
      </c>
      <c r="T31" s="769" t="s">
        <v>17</v>
      </c>
      <c r="U31" s="770" t="e">
        <f t="shared" si="13"/>
        <v>#N/A</v>
      </c>
      <c r="V31" s="769" t="s">
        <v>17</v>
      </c>
      <c r="W31" s="770" t="e">
        <f t="shared" si="14"/>
        <v>#N/A</v>
      </c>
      <c r="X31" s="771"/>
      <c r="Y31" s="3268"/>
      <c r="Z31" s="55" t="str">
        <f t="shared" si="15"/>
        <v>停车位面积</v>
      </c>
      <c r="AA31" s="772" t="e">
        <f t="shared" si="3"/>
        <v>#N/A</v>
      </c>
      <c r="AB31" s="772" t="e">
        <f t="shared" si="4"/>
        <v>#N/A</v>
      </c>
      <c r="AC31" s="772"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8" t="s">
        <v>2555</v>
      </c>
      <c r="Q32" s="1808" t="str">
        <f t="shared" si="11"/>
        <v>车位类型</v>
      </c>
      <c r="R32" s="773" t="s">
        <v>17</v>
      </c>
      <c r="S32" s="774">
        <f t="shared" si="12"/>
        <v>100</v>
      </c>
      <c r="T32" s="773" t="s">
        <v>17</v>
      </c>
      <c r="U32" s="774">
        <f t="shared" si="13"/>
        <v>100</v>
      </c>
      <c r="V32" s="773" t="s">
        <v>17</v>
      </c>
      <c r="W32" s="774">
        <f t="shared" si="14"/>
        <v>100</v>
      </c>
      <c r="X32" s="1811"/>
      <c r="Y32" s="3268" t="s">
        <v>2555</v>
      </c>
      <c r="Z32" s="1812" t="str">
        <f t="shared" si="15"/>
        <v>车位类型</v>
      </c>
      <c r="AA32" s="1809">
        <f t="shared" si="3"/>
        <v>1</v>
      </c>
      <c r="AB32" s="1809">
        <f t="shared" si="4"/>
        <v>1</v>
      </c>
      <c r="AC32" s="1809">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8"/>
      <c r="Q33" s="1808" t="str">
        <f t="shared" si="11"/>
        <v>是否直接入户</v>
      </c>
      <c r="R33" s="773" t="s">
        <v>17</v>
      </c>
      <c r="S33" s="774">
        <f t="shared" si="12"/>
        <v>100</v>
      </c>
      <c r="T33" s="773" t="s">
        <v>17</v>
      </c>
      <c r="U33" s="774">
        <f t="shared" si="13"/>
        <v>100</v>
      </c>
      <c r="V33" s="773" t="s">
        <v>17</v>
      </c>
      <c r="W33" s="774">
        <f t="shared" si="14"/>
        <v>100</v>
      </c>
      <c r="X33" s="1811"/>
      <c r="Y33" s="326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8"/>
      <c r="Q34" s="1808">
        <f t="shared" si="11"/>
        <v>111</v>
      </c>
      <c r="R34" s="773" t="s">
        <v>17</v>
      </c>
      <c r="S34" s="774">
        <f t="shared" si="12"/>
        <v>100</v>
      </c>
      <c r="T34" s="773" t="s">
        <v>17</v>
      </c>
      <c r="U34" s="774">
        <f t="shared" si="13"/>
        <v>100</v>
      </c>
      <c r="V34" s="773" t="s">
        <v>17</v>
      </c>
      <c r="W34" s="774">
        <f t="shared" si="14"/>
        <v>100</v>
      </c>
      <c r="X34" s="1811"/>
      <c r="Y34" s="326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8"/>
      <c r="Q35" s="775">
        <f t="shared" si="11"/>
        <v>111</v>
      </c>
      <c r="R35" s="776" t="s">
        <v>17</v>
      </c>
      <c r="S35" s="777">
        <f t="shared" si="12"/>
        <v>100</v>
      </c>
      <c r="T35" s="776" t="s">
        <v>17</v>
      </c>
      <c r="U35" s="777">
        <f t="shared" si="13"/>
        <v>100</v>
      </c>
      <c r="V35" s="776" t="s">
        <v>17</v>
      </c>
      <c r="W35" s="777">
        <f t="shared" si="14"/>
        <v>100</v>
      </c>
      <c r="X35" s="778"/>
      <c r="Y35" s="3268"/>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8"/>
      <c r="Q36" s="1808">
        <f t="shared" si="11"/>
        <v>111</v>
      </c>
      <c r="R36" s="773" t="s">
        <v>17</v>
      </c>
      <c r="S36" s="774">
        <f t="shared" si="12"/>
        <v>100</v>
      </c>
      <c r="T36" s="773" t="s">
        <v>17</v>
      </c>
      <c r="U36" s="774">
        <f t="shared" si="13"/>
        <v>100</v>
      </c>
      <c r="V36" s="773" t="s">
        <v>17</v>
      </c>
      <c r="W36" s="774">
        <f t="shared" si="14"/>
        <v>100</v>
      </c>
      <c r="X36" s="1811"/>
      <c r="Y36" s="3268"/>
      <c r="Z36" s="1812">
        <f t="shared" si="15"/>
        <v>111</v>
      </c>
      <c r="AA36" s="1809">
        <f t="shared" si="3"/>
        <v>1</v>
      </c>
      <c r="AB36" s="1809">
        <f t="shared" si="4"/>
        <v>1</v>
      </c>
      <c r="AC36" s="1809">
        <f t="shared" si="5"/>
        <v>1</v>
      </c>
    </row>
    <row r="37" spans="1:29" ht="15">
      <c r="A37" s="479" t="s">
        <v>2710</v>
      </c>
      <c r="B37" s="2691" t="s">
        <v>2711</v>
      </c>
      <c r="C37" s="1405" t="s">
        <v>1</v>
      </c>
      <c r="D37" s="1406"/>
      <c r="E37" s="1407"/>
      <c r="F37" s="1408"/>
      <c r="G37" s="1409"/>
      <c r="H37" s="1410"/>
      <c r="I37" s="1407"/>
      <c r="J37" s="1410"/>
      <c r="K37" s="619"/>
      <c r="L37" s="1142"/>
      <c r="M37" s="1143"/>
      <c r="N37" s="1130"/>
      <c r="O37" s="1143"/>
      <c r="P37" s="3261" t="str">
        <f>A37</f>
        <v>成交单价</v>
      </c>
      <c r="Q37" s="3261"/>
      <c r="R37" s="3262">
        <f>E37</f>
        <v>0</v>
      </c>
      <c r="S37" s="3262"/>
      <c r="T37" s="3262">
        <f>G37</f>
        <v>0</v>
      </c>
      <c r="U37" s="3262"/>
      <c r="V37" s="3262">
        <f>I37</f>
        <v>0</v>
      </c>
      <c r="W37" s="3262"/>
      <c r="X37" s="758"/>
      <c r="Y37" s="780"/>
      <c r="Z37" s="758"/>
      <c r="AA37" s="758"/>
      <c r="AB37" s="758"/>
      <c r="AC37" s="758"/>
    </row>
    <row r="38" spans="1:29" ht="15.75" thickBot="1">
      <c r="A38" s="486" t="s">
        <v>2712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8"/>
      <c r="Y38" s="758"/>
      <c r="Z38" s="758"/>
      <c r="AA38" s="758"/>
      <c r="AB38" s="758"/>
      <c r="AC38" s="758"/>
    </row>
    <row r="39" spans="1:29" ht="15.75" thickBot="1">
      <c r="A39" s="492" t="s">
        <v>2713</v>
      </c>
      <c r="B39" s="493"/>
      <c r="C39" s="1415" t="e">
        <f>R39</f>
        <v>#DIV/0!</v>
      </c>
      <c r="D39" s="1415"/>
      <c r="E39" s="1415"/>
      <c r="F39" s="1415"/>
      <c r="G39" s="1415"/>
      <c r="H39" s="1415"/>
      <c r="I39" s="1415"/>
      <c r="J39" s="1415"/>
      <c r="K39" s="621"/>
      <c r="L39" s="1142"/>
      <c r="M39" s="1143"/>
      <c r="N39" s="1143"/>
      <c r="O39" s="1143"/>
      <c r="P39" s="3258" t="str">
        <f>A39</f>
        <v>估价对象XX用房的比较价值（楼面单价，元/平方米）</v>
      </c>
      <c r="Q39" s="3259"/>
      <c r="R39" s="3260" t="e">
        <f>IF(F1="售价",ROUND(AVERAGE(R38:V38),0),ROUND(AVERAGE(R38:V38),1))</f>
        <v>#DIV/0!</v>
      </c>
      <c r="S39" s="3260"/>
      <c r="T39" s="3260"/>
      <c r="U39" s="3260"/>
      <c r="V39" s="3260"/>
      <c r="W39" s="326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2718</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2540</v>
      </c>
      <c r="B51" s="510"/>
      <c r="C51" s="522" t="s">
        <v>2642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2578</v>
      </c>
      <c r="B53" s="528" t="s">
        <v>2544</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2593</v>
      </c>
      <c r="C65" s="578" t="s">
        <v>2587</v>
      </c>
      <c r="D65" s="578" t="s">
        <v>2588</v>
      </c>
      <c r="E65" s="578" t="s">
        <v>2589</v>
      </c>
      <c r="F65" s="578" t="s">
        <v>2590</v>
      </c>
      <c r="G65" s="578" t="s">
        <v>2591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2679</v>
      </c>
      <c r="C67" s="660" t="s">
        <v>2665</v>
      </c>
      <c r="D67" s="660" t="s">
        <v>2666</v>
      </c>
      <c r="E67" s="660" t="s">
        <v>2667</v>
      </c>
      <c r="F67" s="660" t="s">
        <v>2668</v>
      </c>
      <c r="G67" s="660" t="s">
        <v>2669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2599</v>
      </c>
      <c r="C69" s="578" t="s">
        <v>2587</v>
      </c>
      <c r="D69" s="578" t="s">
        <v>2588</v>
      </c>
      <c r="E69" s="578" t="s">
        <v>2589</v>
      </c>
      <c r="F69" s="578" t="s">
        <v>2590</v>
      </c>
      <c r="G69" s="578" t="s">
        <v>2591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2553</v>
      </c>
      <c r="B79" s="528" t="s">
        <v>2720</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2606</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2725</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IF(C2="——",ROUND(C37*D3/10000,0),ROUND(C37*D3/10000,0)-D2)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4" t="s">
        <v>2636</v>
      </c>
      <c r="D4" s="3245"/>
      <c r="E4" s="3246" t="s">
        <v>2637</v>
      </c>
      <c r="F4" s="3247"/>
      <c r="G4" s="3244" t="s">
        <v>2638</v>
      </c>
      <c r="H4" s="3245"/>
      <c r="I4" s="3244" t="s">
        <v>2639</v>
      </c>
      <c r="J4" s="3245"/>
      <c r="K4" s="610" t="s">
        <v>2640</v>
      </c>
      <c r="L4" s="1129"/>
      <c r="M4" s="1130"/>
      <c r="N4" s="1130"/>
      <c r="O4" s="1130"/>
      <c r="P4" s="3248" t="s">
        <v>2641</v>
      </c>
      <c r="Q4" s="3249"/>
      <c r="R4" s="3231" t="s">
        <v>2637</v>
      </c>
      <c r="S4" s="3232"/>
      <c r="T4" s="3231" t="s">
        <v>2638</v>
      </c>
      <c r="U4" s="3232"/>
      <c r="V4" s="3256" t="s">
        <v>2639</v>
      </c>
      <c r="W4" s="3256"/>
      <c r="X4" s="1811"/>
      <c r="Y4" s="3231" t="s">
        <v>2641</v>
      </c>
      <c r="Z4" s="3232"/>
      <c r="AA4" s="3226" t="s">
        <v>2637</v>
      </c>
      <c r="AB4" s="3227" t="s">
        <v>2638</v>
      </c>
      <c r="AC4" s="3226" t="s">
        <v>2639</v>
      </c>
    </row>
    <row r="5" spans="1:29" ht="15">
      <c r="A5" s="404"/>
      <c r="B5" s="405"/>
      <c r="C5" s="3237" t="s">
        <v>2532</v>
      </c>
      <c r="D5" s="3238"/>
      <c r="E5" s="3235" t="s">
        <v>2533</v>
      </c>
      <c r="F5" s="3236"/>
      <c r="G5" s="3237" t="s">
        <v>2534</v>
      </c>
      <c r="H5" s="3238"/>
      <c r="I5" s="3237" t="s">
        <v>2535</v>
      </c>
      <c r="J5" s="3238"/>
      <c r="K5" s="610"/>
      <c r="L5" s="1129"/>
      <c r="M5" s="1130"/>
      <c r="N5" s="1130"/>
      <c r="O5" s="1130"/>
      <c r="P5" s="3250"/>
      <c r="Q5" s="3251"/>
      <c r="R5" s="3233"/>
      <c r="S5" s="3234"/>
      <c r="T5" s="3233"/>
      <c r="U5" s="3234"/>
      <c r="V5" s="3256"/>
      <c r="W5" s="3256"/>
      <c r="X5" s="1811"/>
      <c r="Y5" s="3233"/>
      <c r="Z5" s="3234"/>
      <c r="AA5" s="3227"/>
      <c r="AB5" s="3227"/>
      <c r="AC5" s="3227"/>
    </row>
    <row r="6" spans="1:29" ht="15.75" thickBot="1">
      <c r="A6" s="406"/>
      <c r="B6" s="407"/>
      <c r="C6" s="3239" t="s">
        <v>2536</v>
      </c>
      <c r="D6" s="3240"/>
      <c r="E6" s="3241" t="s">
        <v>2536</v>
      </c>
      <c r="F6" s="3242"/>
      <c r="G6" s="3239" t="s">
        <v>2536</v>
      </c>
      <c r="H6" s="3240"/>
      <c r="I6" s="3239" t="s">
        <v>2536</v>
      </c>
      <c r="J6" s="3240"/>
      <c r="K6" s="610" t="s">
        <v>2537</v>
      </c>
      <c r="L6" s="1129"/>
      <c r="M6" s="1130"/>
      <c r="N6" s="1130"/>
      <c r="O6" s="1130"/>
      <c r="P6" s="3252"/>
      <c r="Q6" s="3253"/>
      <c r="R6" s="3233"/>
      <c r="S6" s="3234"/>
      <c r="T6" s="3254"/>
      <c r="U6" s="3255"/>
      <c r="V6" s="3256"/>
      <c r="W6" s="3256"/>
      <c r="X6" s="1811"/>
      <c r="Y6" s="3254"/>
      <c r="Z6" s="3255"/>
      <c r="AA6" s="3228"/>
      <c r="AB6" s="3228"/>
      <c r="AC6" s="3228"/>
    </row>
    <row r="7" spans="1:29" s="117" customFormat="1" ht="15.75" thickBot="1">
      <c r="A7" s="408" t="s">
        <v>2538</v>
      </c>
      <c r="B7" s="409"/>
      <c r="C7" s="410">
        <f>'数据-取费表'!B2</f>
        <v>43718</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229" t="s">
        <v>2539</v>
      </c>
      <c r="Q7" s="3257"/>
      <c r="R7" s="769" t="s">
        <v>17</v>
      </c>
      <c r="S7" s="770">
        <f t="shared" ref="S7:S14" si="0">F7</f>
        <v>0</v>
      </c>
      <c r="T7" s="769" t="s">
        <v>17</v>
      </c>
      <c r="U7" s="770">
        <f t="shared" ref="U7:U14" si="1">H7</f>
        <v>0</v>
      </c>
      <c r="V7" s="769" t="s">
        <v>17</v>
      </c>
      <c r="W7" s="770">
        <f t="shared" ref="W7:W14" si="2">J7</f>
        <v>0</v>
      </c>
      <c r="X7" s="771"/>
      <c r="Y7" s="3229" t="s">
        <v>2539</v>
      </c>
      <c r="Z7" s="3230"/>
      <c r="AA7" s="772" t="e">
        <f>D7/F7</f>
        <v>#DIV/0!</v>
      </c>
      <c r="AB7" s="772" t="e">
        <f>D7/H7</f>
        <v>#DIV/0!</v>
      </c>
      <c r="AC7" s="772"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9" t="s">
        <v>2542</v>
      </c>
      <c r="Q8" s="3230"/>
      <c r="R8" s="769" t="s">
        <v>17</v>
      </c>
      <c r="S8" s="770">
        <f t="shared" si="0"/>
        <v>0</v>
      </c>
      <c r="T8" s="769" t="s">
        <v>17</v>
      </c>
      <c r="U8" s="770">
        <f t="shared" si="1"/>
        <v>0</v>
      </c>
      <c r="V8" s="769" t="s">
        <v>17</v>
      </c>
      <c r="W8" s="770">
        <f t="shared" si="2"/>
        <v>0</v>
      </c>
      <c r="X8" s="771"/>
      <c r="Y8" s="3229" t="s">
        <v>2542</v>
      </c>
      <c r="Z8" s="3230"/>
      <c r="AA8" s="772" t="e">
        <f t="shared" ref="AA8:AA34" si="3">D8/F8</f>
        <v>#DIV/0!</v>
      </c>
      <c r="AB8" s="772" t="e">
        <f t="shared" ref="AB8:AB34" si="4">D8/H8</f>
        <v>#DIV/0!</v>
      </c>
      <c r="AC8" s="772"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61" t="s">
        <v>2545</v>
      </c>
      <c r="Q9" s="1793" t="str">
        <f t="shared" ref="Q9:Q14" si="6">B9</f>
        <v>用途</v>
      </c>
      <c r="R9" s="769" t="s">
        <v>17</v>
      </c>
      <c r="S9" s="770">
        <f t="shared" si="0"/>
        <v>100</v>
      </c>
      <c r="T9" s="769" t="s">
        <v>17</v>
      </c>
      <c r="U9" s="770">
        <f t="shared" si="1"/>
        <v>100</v>
      </c>
      <c r="V9" s="769" t="s">
        <v>17</v>
      </c>
      <c r="W9" s="770">
        <f t="shared" si="2"/>
        <v>100</v>
      </c>
      <c r="X9" s="771"/>
      <c r="Y9" s="3076" t="s">
        <v>2546</v>
      </c>
      <c r="Z9" s="55" t="str">
        <f t="shared" ref="Z9:Z14" si="7">Q9</f>
        <v>用途</v>
      </c>
      <c r="AA9" s="772">
        <f t="shared" si="3"/>
        <v>1</v>
      </c>
      <c r="AB9" s="772">
        <f t="shared" si="4"/>
        <v>1</v>
      </c>
      <c r="AC9" s="772">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61"/>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61"/>
      <c r="Q11" s="1793">
        <f t="shared" si="6"/>
        <v>111</v>
      </c>
      <c r="R11" s="769" t="s">
        <v>17</v>
      </c>
      <c r="S11" s="770">
        <f t="shared" si="0"/>
        <v>100</v>
      </c>
      <c r="T11" s="769" t="s">
        <v>17</v>
      </c>
      <c r="U11" s="770">
        <f t="shared" si="1"/>
        <v>100</v>
      </c>
      <c r="V11" s="769" t="s">
        <v>17</v>
      </c>
      <c r="W11" s="770">
        <f t="shared" si="2"/>
        <v>100</v>
      </c>
      <c r="X11" s="771"/>
      <c r="Y11" s="3076"/>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61"/>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261"/>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256.5">
      <c r="A14" s="440" t="s">
        <v>2549</v>
      </c>
      <c r="B14" s="6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63" t="s">
        <v>2550</v>
      </c>
      <c r="Q14" s="1808" t="str">
        <f t="shared" si="6"/>
        <v>交通便捷度</v>
      </c>
      <c r="R14" s="773" t="s">
        <v>17</v>
      </c>
      <c r="S14" s="774">
        <f t="shared" si="0"/>
        <v>100</v>
      </c>
      <c r="T14" s="773" t="s">
        <v>17</v>
      </c>
      <c r="U14" s="774">
        <f t="shared" si="1"/>
        <v>100</v>
      </c>
      <c r="V14" s="773" t="s">
        <v>17</v>
      </c>
      <c r="W14" s="774">
        <f t="shared" si="2"/>
        <v>100</v>
      </c>
      <c r="X14" s="1811"/>
      <c r="Y14" s="3263" t="s">
        <v>2550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64"/>
      <c r="Q15" s="1808"/>
      <c r="R15" s="773"/>
      <c r="S15" s="774"/>
      <c r="T15" s="773"/>
      <c r="U15" s="774"/>
      <c r="V15" s="773"/>
      <c r="W15" s="774"/>
      <c r="X15" s="1811"/>
      <c r="Y15" s="3264"/>
      <c r="Z15" s="1812"/>
      <c r="AA15" s="1809">
        <v>1</v>
      </c>
      <c r="AB15" s="1809">
        <v>1</v>
      </c>
      <c r="AC15" s="1809">
        <v>1</v>
      </c>
    </row>
    <row r="16" spans="1:29" ht="242.25">
      <c r="A16" s="428"/>
      <c r="B16" s="45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4"/>
      <c r="Q16" s="1808" t="str">
        <f>B16</f>
        <v>公共配套设施</v>
      </c>
      <c r="R16" s="773" t="s">
        <v>17</v>
      </c>
      <c r="S16" s="774">
        <f>F16</f>
        <v>100</v>
      </c>
      <c r="T16" s="773" t="s">
        <v>17</v>
      </c>
      <c r="U16" s="774">
        <f>H16</f>
        <v>100</v>
      </c>
      <c r="V16" s="773" t="s">
        <v>17</v>
      </c>
      <c r="W16" s="774">
        <f>J16</f>
        <v>100</v>
      </c>
      <c r="X16" s="1811"/>
      <c r="Y16" s="3264"/>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9"/>
      <c r="M17" s="1130"/>
      <c r="N17" s="1130"/>
      <c r="O17" s="1138"/>
      <c r="P17" s="3264"/>
      <c r="Q17" s="1808"/>
      <c r="R17" s="773"/>
      <c r="S17" s="774"/>
      <c r="T17" s="773"/>
      <c r="U17" s="774"/>
      <c r="V17" s="773"/>
      <c r="W17" s="774"/>
      <c r="X17" s="1811"/>
      <c r="Y17" s="3264"/>
      <c r="Z17" s="1812"/>
      <c r="AA17" s="1809">
        <v>1</v>
      </c>
      <c r="AB17" s="1809">
        <v>1</v>
      </c>
      <c r="AC17" s="1809">
        <v>1</v>
      </c>
    </row>
    <row r="18" spans="1:29" ht="28.5">
      <c r="A18" s="428"/>
      <c r="B18" s="1382" t="s">
        <v>2679</v>
      </c>
      <c r="C18" s="2603"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4"/>
      <c r="Q18" s="1808" t="str">
        <f>B18</f>
        <v>基础设施水平</v>
      </c>
      <c r="R18" s="773" t="s">
        <v>17</v>
      </c>
      <c r="S18" s="774">
        <f>F18</f>
        <v>100</v>
      </c>
      <c r="T18" s="773" t="s">
        <v>17</v>
      </c>
      <c r="U18" s="774">
        <f>H18</f>
        <v>100</v>
      </c>
      <c r="V18" s="773" t="s">
        <v>17</v>
      </c>
      <c r="W18" s="774">
        <f>J18</f>
        <v>100</v>
      </c>
      <c r="X18" s="1811"/>
      <c r="Y18" s="3264"/>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9"/>
      <c r="M19" s="1130"/>
      <c r="N19" s="1130"/>
      <c r="O19" s="1138"/>
      <c r="P19" s="3264"/>
      <c r="Q19" s="1808"/>
      <c r="R19" s="773"/>
      <c r="S19" s="774"/>
      <c r="T19" s="773"/>
      <c r="U19" s="774"/>
      <c r="V19" s="773"/>
      <c r="W19" s="774"/>
      <c r="X19" s="1811"/>
      <c r="Y19" s="3264"/>
      <c r="Z19" s="1812"/>
      <c r="AA19" s="1809">
        <v>1</v>
      </c>
      <c r="AB19" s="1809">
        <v>1</v>
      </c>
      <c r="AC19" s="1809">
        <v>1</v>
      </c>
    </row>
    <row r="20" spans="1:29" ht="199.5">
      <c r="A20" s="428"/>
      <c r="B20" s="45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4"/>
      <c r="Q20" s="1808" t="str">
        <f>B20</f>
        <v>自然及人文环境</v>
      </c>
      <c r="R20" s="773" t="s">
        <v>17</v>
      </c>
      <c r="S20" s="774">
        <f>F20</f>
        <v>100</v>
      </c>
      <c r="T20" s="773" t="s">
        <v>17</v>
      </c>
      <c r="U20" s="774">
        <f>H20</f>
        <v>100</v>
      </c>
      <c r="V20" s="773" t="s">
        <v>17</v>
      </c>
      <c r="W20" s="774">
        <f>J20</f>
        <v>100</v>
      </c>
      <c r="X20" s="1811"/>
      <c r="Y20" s="326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64"/>
      <c r="Q21" s="1808"/>
      <c r="R21" s="773"/>
      <c r="S21" s="774"/>
      <c r="T21" s="773"/>
      <c r="U21" s="774"/>
      <c r="V21" s="773"/>
      <c r="W21" s="774"/>
      <c r="X21" s="1811"/>
      <c r="Y21" s="3264"/>
      <c r="Z21" s="1812"/>
      <c r="AA21" s="1809">
        <v>1</v>
      </c>
      <c r="AB21" s="1809">
        <v>1</v>
      </c>
      <c r="AC21" s="1809">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4"/>
      <c r="Q22" s="1808" t="str">
        <f>B22</f>
        <v>楼层</v>
      </c>
      <c r="R22" s="773" t="s">
        <v>17</v>
      </c>
      <c r="S22" s="774">
        <f>F22</f>
        <v>100</v>
      </c>
      <c r="T22" s="773" t="s">
        <v>17</v>
      </c>
      <c r="U22" s="774">
        <f>H22</f>
        <v>100</v>
      </c>
      <c r="V22" s="773" t="s">
        <v>17</v>
      </c>
      <c r="W22" s="774">
        <f>J22</f>
        <v>100</v>
      </c>
      <c r="X22" s="1811"/>
      <c r="Y22" s="3264"/>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4"/>
      <c r="Q23" s="1808">
        <f>B23</f>
        <v>111</v>
      </c>
      <c r="R23" s="773" t="s">
        <v>17</v>
      </c>
      <c r="S23" s="774">
        <f>F23</f>
        <v>100</v>
      </c>
      <c r="T23" s="773" t="s">
        <v>17</v>
      </c>
      <c r="U23" s="774">
        <f>H23</f>
        <v>100</v>
      </c>
      <c r="V23" s="773" t="s">
        <v>17</v>
      </c>
      <c r="W23" s="774">
        <f>J23</f>
        <v>100</v>
      </c>
      <c r="X23" s="1811"/>
      <c r="Y23" s="3264"/>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4"/>
      <c r="Q24" s="1808">
        <f t="shared" ref="Q24:Q34" si="11">B24</f>
        <v>111</v>
      </c>
      <c r="R24" s="773" t="s">
        <v>17</v>
      </c>
      <c r="S24" s="774">
        <f>F24</f>
        <v>100</v>
      </c>
      <c r="T24" s="773" t="s">
        <v>17</v>
      </c>
      <c r="U24" s="774">
        <f>H24</f>
        <v>100</v>
      </c>
      <c r="V24" s="773" t="s">
        <v>17</v>
      </c>
      <c r="W24" s="774">
        <f>J24</f>
        <v>100</v>
      </c>
      <c r="X24" s="1811"/>
      <c r="Y24" s="3264"/>
      <c r="Z24" s="1812">
        <f>Q24</f>
        <v>111</v>
      </c>
      <c r="AA24" s="1809">
        <f t="shared" si="3"/>
        <v>1</v>
      </c>
      <c r="AB24" s="1809">
        <f t="shared" si="4"/>
        <v>1</v>
      </c>
      <c r="AC24" s="1809">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64"/>
      <c r="Q25" s="1793">
        <f t="shared" si="11"/>
        <v>111</v>
      </c>
      <c r="R25" s="769" t="s">
        <v>17</v>
      </c>
      <c r="S25" s="770">
        <f>F25</f>
        <v>100</v>
      </c>
      <c r="T25" s="769" t="s">
        <v>17</v>
      </c>
      <c r="U25" s="770">
        <f>H25</f>
        <v>100</v>
      </c>
      <c r="V25" s="769" t="s">
        <v>17</v>
      </c>
      <c r="W25" s="770">
        <f>J25</f>
        <v>100</v>
      </c>
      <c r="X25" s="771"/>
      <c r="Y25" s="3264"/>
      <c r="Z25" s="55">
        <f>Q25</f>
        <v>111</v>
      </c>
      <c r="AA25" s="1809">
        <f>D25/F25</f>
        <v>1</v>
      </c>
      <c r="AB25" s="1809">
        <f>D25/H25</f>
        <v>1</v>
      </c>
      <c r="AC25" s="1809">
        <f>D25/J25</f>
        <v>1</v>
      </c>
    </row>
    <row r="26" spans="1:29" ht="28.5">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90" t="s">
        <v>2555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8" t="s">
        <v>2555</v>
      </c>
      <c r="Z26" s="1812" t="str">
        <f t="shared" ref="Z26:Z34" si="15">Q26</f>
        <v>公共部分装修</v>
      </c>
      <c r="AA26" s="1809">
        <f t="shared" si="3"/>
        <v>1</v>
      </c>
      <c r="AB26" s="1809">
        <f t="shared" si="4"/>
        <v>1</v>
      </c>
      <c r="AC26" s="1809">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8"/>
      <c r="Q27" s="775" t="str">
        <f t="shared" si="11"/>
        <v>成新率</v>
      </c>
      <c r="R27" s="776" t="s">
        <v>17</v>
      </c>
      <c r="S27" s="777" t="e">
        <f t="shared" si="12"/>
        <v>#N/A</v>
      </c>
      <c r="T27" s="776" t="s">
        <v>17</v>
      </c>
      <c r="U27" s="777" t="e">
        <f t="shared" si="13"/>
        <v>#N/A</v>
      </c>
      <c r="V27" s="776" t="s">
        <v>17</v>
      </c>
      <c r="W27" s="777" t="e">
        <f t="shared" si="14"/>
        <v>#N/A</v>
      </c>
      <c r="X27" s="778"/>
      <c r="Y27" s="3268"/>
      <c r="Z27" s="779" t="str">
        <f t="shared" si="15"/>
        <v>成新率</v>
      </c>
      <c r="AA27" s="1809" t="e">
        <f t="shared" si="3"/>
        <v>#N/A</v>
      </c>
      <c r="AB27" s="1809" t="e">
        <f t="shared" si="4"/>
        <v>#N/A</v>
      </c>
      <c r="AC27" s="1809"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8"/>
      <c r="Q28" s="1808" t="str">
        <f t="shared" si="11"/>
        <v>物业等级</v>
      </c>
      <c r="R28" s="773" t="s">
        <v>17</v>
      </c>
      <c r="S28" s="774">
        <f t="shared" si="12"/>
        <v>100</v>
      </c>
      <c r="T28" s="773" t="s">
        <v>17</v>
      </c>
      <c r="U28" s="774">
        <f t="shared" si="13"/>
        <v>100</v>
      </c>
      <c r="V28" s="773" t="s">
        <v>17</v>
      </c>
      <c r="W28" s="774">
        <f t="shared" si="14"/>
        <v>100</v>
      </c>
      <c r="X28" s="1811"/>
      <c r="Y28" s="3268"/>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8"/>
      <c r="Q29" s="1808" t="str">
        <f t="shared" si="11"/>
        <v>有无电梯</v>
      </c>
      <c r="R29" s="773" t="s">
        <v>17</v>
      </c>
      <c r="S29" s="774">
        <f t="shared" si="12"/>
        <v>100</v>
      </c>
      <c r="T29" s="773" t="s">
        <v>17</v>
      </c>
      <c r="U29" s="774">
        <f t="shared" si="13"/>
        <v>100</v>
      </c>
      <c r="V29" s="773" t="s">
        <v>17</v>
      </c>
      <c r="W29" s="774">
        <f t="shared" si="14"/>
        <v>100</v>
      </c>
      <c r="X29" s="1811"/>
      <c r="Y29" s="3268"/>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8"/>
      <c r="Q30" s="1808" t="str">
        <f t="shared" si="11"/>
        <v>建筑面积</v>
      </c>
      <c r="R30" s="773" t="s">
        <v>17</v>
      </c>
      <c r="S30" s="774" t="e">
        <f t="shared" si="12"/>
        <v>#N/A</v>
      </c>
      <c r="T30" s="773" t="s">
        <v>17</v>
      </c>
      <c r="U30" s="774" t="e">
        <f t="shared" si="13"/>
        <v>#N/A</v>
      </c>
      <c r="V30" s="773" t="s">
        <v>17</v>
      </c>
      <c r="W30" s="774" t="e">
        <f t="shared" si="14"/>
        <v>#N/A</v>
      </c>
      <c r="X30" s="1811"/>
      <c r="Y30" s="3268"/>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8"/>
      <c r="Q31" s="1793" t="str">
        <f t="shared" si="11"/>
        <v>是否封闭</v>
      </c>
      <c r="R31" s="769" t="s">
        <v>17</v>
      </c>
      <c r="S31" s="770">
        <f t="shared" si="12"/>
        <v>100</v>
      </c>
      <c r="T31" s="769" t="s">
        <v>17</v>
      </c>
      <c r="U31" s="770">
        <f t="shared" si="13"/>
        <v>100</v>
      </c>
      <c r="V31" s="769" t="s">
        <v>17</v>
      </c>
      <c r="W31" s="770">
        <f t="shared" si="14"/>
        <v>100</v>
      </c>
      <c r="X31" s="771"/>
      <c r="Y31" s="3268"/>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8" t="s">
        <v>2555</v>
      </c>
      <c r="Q32" s="1808">
        <f t="shared" si="11"/>
        <v>111</v>
      </c>
      <c r="R32" s="773" t="s">
        <v>17</v>
      </c>
      <c r="S32" s="774">
        <f t="shared" si="12"/>
        <v>100</v>
      </c>
      <c r="T32" s="773" t="s">
        <v>17</v>
      </c>
      <c r="U32" s="774">
        <f t="shared" si="13"/>
        <v>100</v>
      </c>
      <c r="V32" s="773" t="s">
        <v>17</v>
      </c>
      <c r="W32" s="774">
        <f t="shared" si="14"/>
        <v>100</v>
      </c>
      <c r="X32" s="1811"/>
      <c r="Y32" s="3268" t="s">
        <v>2555</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8"/>
      <c r="Q33" s="1808">
        <f t="shared" si="11"/>
        <v>111</v>
      </c>
      <c r="R33" s="773" t="s">
        <v>17</v>
      </c>
      <c r="S33" s="774">
        <f t="shared" si="12"/>
        <v>100</v>
      </c>
      <c r="T33" s="773" t="s">
        <v>17</v>
      </c>
      <c r="U33" s="774">
        <f t="shared" si="13"/>
        <v>100</v>
      </c>
      <c r="V33" s="773" t="s">
        <v>17</v>
      </c>
      <c r="W33" s="774">
        <f t="shared" si="14"/>
        <v>100</v>
      </c>
      <c r="X33" s="1811"/>
      <c r="Y33" s="3268"/>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68"/>
      <c r="Q34" s="1808">
        <f t="shared" si="11"/>
        <v>111</v>
      </c>
      <c r="R34" s="773" t="s">
        <v>17</v>
      </c>
      <c r="S34" s="774">
        <f t="shared" si="12"/>
        <v>100</v>
      </c>
      <c r="T34" s="773" t="s">
        <v>17</v>
      </c>
      <c r="U34" s="774">
        <f t="shared" si="13"/>
        <v>100</v>
      </c>
      <c r="V34" s="773" t="s">
        <v>17</v>
      </c>
      <c r="W34" s="774">
        <f t="shared" si="14"/>
        <v>100</v>
      </c>
      <c r="X34" s="1811"/>
      <c r="Y34" s="3268"/>
      <c r="Z34" s="1812">
        <f t="shared" si="15"/>
        <v>111</v>
      </c>
      <c r="AA34" s="1809">
        <f t="shared" si="3"/>
        <v>1</v>
      </c>
      <c r="AB34" s="1809">
        <f t="shared" si="4"/>
        <v>1</v>
      </c>
      <c r="AC34" s="1809">
        <f t="shared" si="5"/>
        <v>1</v>
      </c>
    </row>
    <row r="35" spans="1:29" ht="15">
      <c r="A35" s="479" t="s">
        <v>2567</v>
      </c>
      <c r="B35" s="480"/>
      <c r="C35" s="1405" t="s">
        <v>1</v>
      </c>
      <c r="D35" s="1406"/>
      <c r="E35" s="1407"/>
      <c r="F35" s="1408"/>
      <c r="G35" s="1409"/>
      <c r="H35" s="1410"/>
      <c r="I35" s="1407"/>
      <c r="J35" s="1410"/>
      <c r="K35" s="782"/>
      <c r="L35" s="1142"/>
      <c r="M35" s="1143"/>
      <c r="N35" s="1130"/>
      <c r="O35" s="1143"/>
      <c r="P35" s="3261" t="str">
        <f>A35</f>
        <v>成交单价（元/平方米）</v>
      </c>
      <c r="Q35" s="3261"/>
      <c r="R35" s="3262">
        <f>E35</f>
        <v>0</v>
      </c>
      <c r="S35" s="3262"/>
      <c r="T35" s="3262">
        <f>G35</f>
        <v>0</v>
      </c>
      <c r="U35" s="3262"/>
      <c r="V35" s="3262">
        <f>I35</f>
        <v>0</v>
      </c>
      <c r="W35" s="3262"/>
      <c r="X35" s="758"/>
      <c r="Y35" s="780"/>
      <c r="Z35" s="758"/>
      <c r="AA35" s="758"/>
      <c r="AB35" s="758"/>
      <c r="AC35" s="758"/>
    </row>
    <row r="36" spans="1:29" ht="15.75" thickBot="1">
      <c r="A36" s="486" t="s">
        <v>2659</v>
      </c>
      <c r="B36" s="487"/>
      <c r="C36" s="1411" t="e">
        <f>R37</f>
        <v>#DIV/0!</v>
      </c>
      <c r="D36" s="1412"/>
      <c r="E36" s="1413" t="e">
        <f>R36</f>
        <v>#DIV/0!</v>
      </c>
      <c r="F36" s="1413"/>
      <c r="G36" s="1411" t="e">
        <f>T36</f>
        <v>#DIV/0!</v>
      </c>
      <c r="H36" s="1412"/>
      <c r="I36" s="1413" t="e">
        <f>V36</f>
        <v>#DIV/0!</v>
      </c>
      <c r="J36" s="1412"/>
      <c r="K36" s="783"/>
      <c r="L36" s="1142"/>
      <c r="M36" s="1143"/>
      <c r="N36" s="1130"/>
      <c r="O36" s="1143"/>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8"/>
      <c r="Y36" s="758"/>
      <c r="Z36" s="758"/>
      <c r="AA36" s="758"/>
      <c r="AB36" s="758"/>
      <c r="AC36" s="758"/>
    </row>
    <row r="37" spans="1:29" ht="15.75" thickBot="1">
      <c r="A37" s="492" t="s">
        <v>2660</v>
      </c>
      <c r="B37" s="493"/>
      <c r="C37" s="1415" t="e">
        <f>R37</f>
        <v>#DIV/0!</v>
      </c>
      <c r="D37" s="1415"/>
      <c r="E37" s="1415"/>
      <c r="F37" s="1415"/>
      <c r="G37" s="1415"/>
      <c r="H37" s="1415"/>
      <c r="I37" s="1415"/>
      <c r="J37" s="1415"/>
      <c r="K37" s="784"/>
      <c r="L37" s="1142"/>
      <c r="M37" s="1143"/>
      <c r="N37" s="1143"/>
      <c r="O37" s="1143"/>
      <c r="P37" s="3258" t="str">
        <f>A37</f>
        <v>估价对象XX用房的比较价值（楼面单价，元/平方米）</v>
      </c>
      <c r="Q37" s="3259"/>
      <c r="R37" s="3260" t="e">
        <f>IF(F1="售价",ROUND(AVERAGE(R36:V36),0),ROUND(AVERAGE(R36:V36),1))</f>
        <v>#DIV/0!</v>
      </c>
      <c r="S37" s="3260"/>
      <c r="T37" s="3260"/>
      <c r="U37" s="3260"/>
      <c r="V37" s="3260"/>
      <c r="W37" s="326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2664</v>
      </c>
      <c r="B45" s="758"/>
      <c r="C45" s="763"/>
      <c r="D45" s="763"/>
      <c r="E45" s="763"/>
      <c r="F45" s="764"/>
      <c r="G45" s="764"/>
      <c r="H45" s="763"/>
      <c r="I45" s="763"/>
      <c r="J45" s="763"/>
      <c r="K45" s="765"/>
      <c r="L45" s="766"/>
      <c r="M45" s="763"/>
      <c r="N45" s="763"/>
      <c r="O45" s="763"/>
      <c r="P45" s="503"/>
      <c r="Q45" s="504"/>
    </row>
    <row r="46" spans="1:29" s="508" customFormat="1" ht="15">
      <c r="A46" s="505" t="s">
        <v>2538</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2578</v>
      </c>
      <c r="B51" s="528" t="s">
        <v>2544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2635</v>
      </c>
      <c r="B4" s="402"/>
      <c r="C4" s="3244" t="s">
        <v>2636</v>
      </c>
      <c r="D4" s="3245"/>
      <c r="E4" s="3246" t="s">
        <v>2637</v>
      </c>
      <c r="F4" s="3247"/>
      <c r="G4" s="3244" t="s">
        <v>2638</v>
      </c>
      <c r="H4" s="3245"/>
      <c r="I4" s="3244" t="s">
        <v>2639</v>
      </c>
      <c r="J4" s="3245"/>
      <c r="K4" s="610" t="s">
        <v>2640</v>
      </c>
      <c r="L4" s="1129"/>
      <c r="M4" s="1130"/>
      <c r="N4" s="1130"/>
      <c r="O4" s="1130"/>
      <c r="P4" s="3248" t="s">
        <v>2641</v>
      </c>
      <c r="Q4" s="3249"/>
      <c r="R4" s="3231" t="s">
        <v>2637</v>
      </c>
      <c r="S4" s="3232"/>
      <c r="T4" s="3231" t="s">
        <v>2638</v>
      </c>
      <c r="U4" s="3232"/>
      <c r="V4" s="3256" t="s">
        <v>2639</v>
      </c>
      <c r="W4" s="3256"/>
      <c r="X4" s="1811"/>
      <c r="Y4" s="3231" t="s">
        <v>2641</v>
      </c>
      <c r="Z4" s="3232"/>
      <c r="AA4" s="3226" t="s">
        <v>2637</v>
      </c>
      <c r="AB4" s="3227" t="s">
        <v>2638</v>
      </c>
      <c r="AC4" s="3226" t="s">
        <v>2639</v>
      </c>
    </row>
    <row r="5" spans="1:30" ht="15">
      <c r="A5" s="404"/>
      <c r="B5" s="405"/>
      <c r="C5" s="3237" t="s">
        <v>2532</v>
      </c>
      <c r="D5" s="3238"/>
      <c r="E5" s="3235" t="s">
        <v>2533</v>
      </c>
      <c r="F5" s="3236"/>
      <c r="G5" s="3237" t="s">
        <v>2534</v>
      </c>
      <c r="H5" s="3238"/>
      <c r="I5" s="3237" t="s">
        <v>2535</v>
      </c>
      <c r="J5" s="3238"/>
      <c r="K5" s="610"/>
      <c r="L5" s="1129"/>
      <c r="M5" s="1130"/>
      <c r="N5" s="1130"/>
      <c r="O5" s="1130"/>
      <c r="P5" s="3250"/>
      <c r="Q5" s="3251"/>
      <c r="R5" s="3233"/>
      <c r="S5" s="3234"/>
      <c r="T5" s="3233"/>
      <c r="U5" s="3234"/>
      <c r="V5" s="3256"/>
      <c r="W5" s="3256"/>
      <c r="X5" s="1811"/>
      <c r="Y5" s="3233"/>
      <c r="Z5" s="3234"/>
      <c r="AA5" s="3227"/>
      <c r="AB5" s="3227"/>
      <c r="AC5" s="3227"/>
    </row>
    <row r="6" spans="1:30" ht="15.75" thickBot="1">
      <c r="A6" s="406"/>
      <c r="B6" s="407"/>
      <c r="C6" s="3239" t="s">
        <v>2536</v>
      </c>
      <c r="D6" s="3240"/>
      <c r="E6" s="3241" t="s">
        <v>2536</v>
      </c>
      <c r="F6" s="3242"/>
      <c r="G6" s="3239" t="s">
        <v>2536</v>
      </c>
      <c r="H6" s="3240"/>
      <c r="I6" s="3239" t="s">
        <v>2536</v>
      </c>
      <c r="J6" s="3240"/>
      <c r="K6" s="610" t="s">
        <v>2537</v>
      </c>
      <c r="L6" s="1129"/>
      <c r="M6" s="1130"/>
      <c r="N6" s="1130"/>
      <c r="O6" s="1130"/>
      <c r="P6" s="3252"/>
      <c r="Q6" s="3253"/>
      <c r="R6" s="3233"/>
      <c r="S6" s="3234"/>
      <c r="T6" s="3254"/>
      <c r="U6" s="3255"/>
      <c r="V6" s="3256"/>
      <c r="W6" s="3256"/>
      <c r="X6" s="1811"/>
      <c r="Y6" s="3254"/>
      <c r="Z6" s="3255"/>
      <c r="AA6" s="3228"/>
      <c r="AB6" s="3228"/>
      <c r="AC6" s="3228"/>
    </row>
    <row r="7" spans="1:30" s="117" customFormat="1" ht="15.75" thickBot="1">
      <c r="A7" s="408" t="s">
        <v>2538</v>
      </c>
      <c r="B7" s="409"/>
      <c r="C7" s="410">
        <f>'数据-取费表'!B2</f>
        <v>43718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1"/>
      <c r="M7" s="1132"/>
      <c r="N7" s="1132"/>
      <c r="O7" s="1132"/>
      <c r="P7" s="3229" t="s">
        <v>2539</v>
      </c>
      <c r="Q7" s="3257"/>
      <c r="R7" s="769" t="s">
        <v>17</v>
      </c>
      <c r="S7" s="770">
        <f t="shared" ref="S7:S15" si="0">F7</f>
        <v>0</v>
      </c>
      <c r="T7" s="769" t="s">
        <v>17</v>
      </c>
      <c r="U7" s="770">
        <f t="shared" ref="U7:U15" si="1">H7</f>
        <v>0</v>
      </c>
      <c r="V7" s="769" t="s">
        <v>17</v>
      </c>
      <c r="W7" s="770">
        <f t="shared" ref="W7:W15" si="2">J7</f>
        <v>0</v>
      </c>
      <c r="X7" s="771"/>
      <c r="Y7" s="3229" t="s">
        <v>2539</v>
      </c>
      <c r="Z7" s="3230"/>
      <c r="AA7" s="772" t="e">
        <f>D7/F7</f>
        <v>#DIV/0!</v>
      </c>
      <c r="AB7" s="772" t="e">
        <f>D7/H7</f>
        <v>#DIV/0!</v>
      </c>
      <c r="AC7" s="772"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9" t="s">
        <v>2542</v>
      </c>
      <c r="Q8" s="3230"/>
      <c r="R8" s="769" t="s">
        <v>17</v>
      </c>
      <c r="S8" s="770">
        <f t="shared" si="0"/>
        <v>0</v>
      </c>
      <c r="T8" s="769" t="s">
        <v>17</v>
      </c>
      <c r="U8" s="770">
        <f t="shared" si="1"/>
        <v>0</v>
      </c>
      <c r="V8" s="769" t="s">
        <v>17</v>
      </c>
      <c r="W8" s="770">
        <f t="shared" si="2"/>
        <v>0</v>
      </c>
      <c r="X8" s="771"/>
      <c r="Y8" s="3229" t="s">
        <v>2542</v>
      </c>
      <c r="Z8" s="3230"/>
      <c r="AA8" s="772" t="e">
        <f t="shared" ref="AA8:AA45" si="3">D8/F8</f>
        <v>#DIV/0!</v>
      </c>
      <c r="AB8" s="772" t="e">
        <f t="shared" ref="AB8:AB45" si="4">D8/H8</f>
        <v>#DIV/0!</v>
      </c>
      <c r="AC8" s="772" t="e">
        <f t="shared" ref="AC8:AC45" si="5">D8/J8</f>
        <v>#DIV/0!</v>
      </c>
    </row>
    <row r="9" spans="1:30" s="117" customFormat="1">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261" t="s">
        <v>2545</v>
      </c>
      <c r="Q9" s="1793" t="str">
        <f t="shared" ref="Q9:Q15" si="6">B9</f>
        <v>用途</v>
      </c>
      <c r="R9" s="769" t="s">
        <v>17</v>
      </c>
      <c r="S9" s="770">
        <f t="shared" si="0"/>
        <v>100</v>
      </c>
      <c r="T9" s="769" t="s">
        <v>17</v>
      </c>
      <c r="U9" s="770">
        <f t="shared" si="1"/>
        <v>100</v>
      </c>
      <c r="V9" s="769" t="s">
        <v>17</v>
      </c>
      <c r="W9" s="770">
        <f t="shared" si="2"/>
        <v>100</v>
      </c>
      <c r="X9" s="771"/>
      <c r="Y9" s="3076" t="s">
        <v>2546</v>
      </c>
      <c r="Z9" s="55" t="str">
        <f t="shared" ref="Z9:Z15" si="7">Q9</f>
        <v>用途</v>
      </c>
      <c r="AA9" s="772">
        <f t="shared" si="3"/>
        <v>1</v>
      </c>
      <c r="AB9" s="772">
        <f t="shared" si="4"/>
        <v>1</v>
      </c>
      <c r="AC9" s="772">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61"/>
      <c r="Q10" s="1793" t="str">
        <f t="shared" si="6"/>
        <v>土地使用年限（年）</v>
      </c>
      <c r="R10" s="769" t="s">
        <v>17</v>
      </c>
      <c r="S10" s="770">
        <f t="shared" si="0"/>
        <v>106</v>
      </c>
      <c r="T10" s="769" t="s">
        <v>17</v>
      </c>
      <c r="U10" s="770">
        <f t="shared" si="1"/>
        <v>106</v>
      </c>
      <c r="V10" s="769" t="s">
        <v>17</v>
      </c>
      <c r="W10" s="770">
        <f t="shared" si="2"/>
        <v>106</v>
      </c>
      <c r="X10" s="771"/>
      <c r="Y10" s="3076"/>
      <c r="Z10" s="55" t="str">
        <f t="shared" si="7"/>
        <v>土地使用年限（年）</v>
      </c>
      <c r="AA10" s="772">
        <f t="shared" si="3"/>
        <v>0.94339622641509435</v>
      </c>
      <c r="AB10" s="772">
        <f t="shared" si="4"/>
        <v>0.94339622641509435</v>
      </c>
      <c r="AC10" s="772">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61"/>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61"/>
      <c r="Q12" s="1793" t="str">
        <f t="shared" si="6"/>
        <v>配建</v>
      </c>
      <c r="R12" s="769" t="s">
        <v>17</v>
      </c>
      <c r="S12" s="770">
        <f t="shared" si="0"/>
        <v>100</v>
      </c>
      <c r="T12" s="769" t="s">
        <v>17</v>
      </c>
      <c r="U12" s="770">
        <f t="shared" si="1"/>
        <v>100</v>
      </c>
      <c r="V12" s="769" t="s">
        <v>17</v>
      </c>
      <c r="W12" s="770">
        <f t="shared" si="2"/>
        <v>100</v>
      </c>
      <c r="X12" s="771"/>
      <c r="Y12" s="3076"/>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61"/>
      <c r="Q13" s="1793">
        <f t="shared" si="6"/>
        <v>111</v>
      </c>
      <c r="R13" s="769" t="s">
        <v>17</v>
      </c>
      <c r="S13" s="770">
        <f t="shared" si="0"/>
        <v>100</v>
      </c>
      <c r="T13" s="769" t="s">
        <v>17</v>
      </c>
      <c r="U13" s="770">
        <f t="shared" si="1"/>
        <v>100</v>
      </c>
      <c r="V13" s="769" t="s">
        <v>17</v>
      </c>
      <c r="W13" s="770">
        <f t="shared" si="2"/>
        <v>100</v>
      </c>
      <c r="X13" s="771"/>
      <c r="Y13" s="3076"/>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61"/>
      <c r="Q14" s="1793">
        <f t="shared" si="6"/>
        <v>111</v>
      </c>
      <c r="R14" s="769" t="s">
        <v>17</v>
      </c>
      <c r="S14" s="770">
        <f t="shared" si="0"/>
        <v>100</v>
      </c>
      <c r="T14" s="769" t="s">
        <v>17</v>
      </c>
      <c r="U14" s="770">
        <f t="shared" si="1"/>
        <v>100</v>
      </c>
      <c r="V14" s="769" t="s">
        <v>17</v>
      </c>
      <c r="W14" s="770">
        <f t="shared" si="2"/>
        <v>100</v>
      </c>
      <c r="X14" s="771"/>
      <c r="Y14" s="3076"/>
      <c r="Z14" s="55">
        <f t="shared" si="7"/>
        <v>111</v>
      </c>
      <c r="AA14" s="772">
        <f>D14/F14</f>
        <v>1</v>
      </c>
      <c r="AB14" s="772">
        <f>D14/H14</f>
        <v>1</v>
      </c>
      <c r="AC14" s="772">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63" t="s">
        <v>2550</v>
      </c>
      <c r="Q15" s="1808" t="str">
        <f t="shared" si="6"/>
        <v>居住社区成熟度</v>
      </c>
      <c r="R15" s="773" t="s">
        <v>17</v>
      </c>
      <c r="S15" s="774">
        <f t="shared" si="0"/>
        <v>100</v>
      </c>
      <c r="T15" s="773" t="s">
        <v>17</v>
      </c>
      <c r="U15" s="774">
        <f t="shared" si="1"/>
        <v>100</v>
      </c>
      <c r="V15" s="773" t="s">
        <v>17</v>
      </c>
      <c r="W15" s="774">
        <f t="shared" si="2"/>
        <v>100</v>
      </c>
      <c r="X15" s="1811"/>
      <c r="Y15" s="3263" t="s">
        <v>2550</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9"/>
      <c r="M16" s="1130"/>
      <c r="N16" s="1130"/>
      <c r="O16" s="1138"/>
      <c r="P16" s="3264"/>
      <c r="Q16" s="1808"/>
      <c r="R16" s="773"/>
      <c r="S16" s="774"/>
      <c r="T16" s="773"/>
      <c r="U16" s="774"/>
      <c r="V16" s="773"/>
      <c r="W16" s="774"/>
      <c r="X16" s="1811"/>
      <c r="Y16" s="3264"/>
      <c r="Z16" s="1812"/>
      <c r="AA16" s="1809">
        <v>1</v>
      </c>
      <c r="AB16" s="1809">
        <v>1</v>
      </c>
      <c r="AC16" s="1809">
        <v>1</v>
      </c>
    </row>
    <row r="17" spans="1:29" ht="15">
      <c r="A17" s="428"/>
      <c r="B17" s="451" t="s">
        <v>2643</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4"/>
      <c r="Q17" s="1808" t="str">
        <f>B17</f>
        <v>商业繁华度</v>
      </c>
      <c r="R17" s="773" t="s">
        <v>17</v>
      </c>
      <c r="S17" s="774">
        <f>F17</f>
        <v>100</v>
      </c>
      <c r="T17" s="773" t="s">
        <v>17</v>
      </c>
      <c r="U17" s="774">
        <f>H17</f>
        <v>100</v>
      </c>
      <c r="V17" s="773" t="s">
        <v>17</v>
      </c>
      <c r="W17" s="774">
        <f>J17</f>
        <v>100</v>
      </c>
      <c r="X17" s="1811"/>
      <c r="Y17" s="3264"/>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9"/>
      <c r="M18" s="1130"/>
      <c r="N18" s="1130"/>
      <c r="O18" s="1138"/>
      <c r="P18" s="3264"/>
      <c r="Q18" s="1808"/>
      <c r="R18" s="773"/>
      <c r="S18" s="774"/>
      <c r="T18" s="773"/>
      <c r="U18" s="774"/>
      <c r="V18" s="773"/>
      <c r="W18" s="774"/>
      <c r="X18" s="1811"/>
      <c r="Y18" s="3264"/>
      <c r="Z18" s="1812"/>
      <c r="AA18" s="1809">
        <v>1</v>
      </c>
      <c r="AB18" s="1809">
        <v>1</v>
      </c>
      <c r="AC18" s="1809">
        <v>1</v>
      </c>
    </row>
    <row r="19" spans="1:29" ht="142.5">
      <c r="A19" s="428"/>
      <c r="B19" s="451" t="s">
        <v>2677</v>
      </c>
      <c r="C19" s="2660"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4"/>
      <c r="Q19" s="1808" t="str">
        <f>B19</f>
        <v>办公集聚程度</v>
      </c>
      <c r="R19" s="773" t="s">
        <v>17</v>
      </c>
      <c r="S19" s="774">
        <f>F19</f>
        <v>100</v>
      </c>
      <c r="T19" s="773" t="s">
        <v>17</v>
      </c>
      <c r="U19" s="774">
        <f>H19</f>
        <v>100</v>
      </c>
      <c r="V19" s="773" t="s">
        <v>17</v>
      </c>
      <c r="W19" s="774">
        <f>J19</f>
        <v>100</v>
      </c>
      <c r="X19" s="1811"/>
      <c r="Y19" s="3264"/>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9"/>
      <c r="M20" s="1130"/>
      <c r="N20" s="1130"/>
      <c r="O20" s="1138"/>
      <c r="P20" s="3264"/>
      <c r="Q20" s="1808"/>
      <c r="R20" s="773"/>
      <c r="S20" s="774"/>
      <c r="T20" s="773"/>
      <c r="U20" s="774"/>
      <c r="V20" s="773"/>
      <c r="W20" s="774"/>
      <c r="X20" s="1811"/>
      <c r="Y20" s="3264"/>
      <c r="Z20" s="1812"/>
      <c r="AA20" s="1809">
        <v>1</v>
      </c>
      <c r="AB20" s="1809">
        <v>1</v>
      </c>
      <c r="AC20" s="1809">
        <v>1</v>
      </c>
    </row>
    <row r="21" spans="1:29" ht="256.5">
      <c r="A21" s="428"/>
      <c r="B21" s="451" t="s">
        <v>2699</v>
      </c>
      <c r="C21" s="2603"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4"/>
      <c r="Q21" s="1808" t="str">
        <f>B21</f>
        <v>交通便捷度</v>
      </c>
      <c r="R21" s="773" t="s">
        <v>17</v>
      </c>
      <c r="S21" s="774">
        <f>F21</f>
        <v>100</v>
      </c>
      <c r="T21" s="773" t="s">
        <v>17</v>
      </c>
      <c r="U21" s="774">
        <f>H21</f>
        <v>100</v>
      </c>
      <c r="V21" s="773" t="s">
        <v>17</v>
      </c>
      <c r="W21" s="774">
        <f>J21</f>
        <v>100</v>
      </c>
      <c r="X21" s="1811"/>
      <c r="Y21" s="3264"/>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9"/>
      <c r="M22" s="1130"/>
      <c r="N22" s="1130"/>
      <c r="O22" s="1138"/>
      <c r="P22" s="3264"/>
      <c r="Q22" s="1808"/>
      <c r="R22" s="773"/>
      <c r="S22" s="774"/>
      <c r="T22" s="773"/>
      <c r="U22" s="774"/>
      <c r="V22" s="773"/>
      <c r="W22" s="774"/>
      <c r="X22" s="1811"/>
      <c r="Y22" s="3264"/>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4"/>
      <c r="Q23" s="1808" t="str">
        <f t="shared" ref="Q23:Q37" si="8">B23</f>
        <v>区域土地利用方向</v>
      </c>
      <c r="R23" s="773" t="s">
        <v>17</v>
      </c>
      <c r="S23" s="774">
        <f>F23</f>
        <v>100</v>
      </c>
      <c r="T23" s="773" t="s">
        <v>17</v>
      </c>
      <c r="U23" s="774">
        <f>H23</f>
        <v>100</v>
      </c>
      <c r="V23" s="773" t="s">
        <v>17</v>
      </c>
      <c r="W23" s="774">
        <f>J23</f>
        <v>100</v>
      </c>
      <c r="X23" s="1811"/>
      <c r="Y23" s="3264"/>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39"/>
      <c r="M24" s="1130"/>
      <c r="N24" s="1130"/>
      <c r="O24" s="1138"/>
      <c r="P24" s="3264"/>
      <c r="Q24" s="1808"/>
      <c r="R24" s="773"/>
      <c r="S24" s="774"/>
      <c r="T24" s="773"/>
      <c r="U24" s="774"/>
      <c r="V24" s="773"/>
      <c r="W24" s="774"/>
      <c r="X24" s="1811"/>
      <c r="Y24" s="3264"/>
      <c r="Z24" s="1812"/>
      <c r="AA24" s="1809"/>
      <c r="AB24" s="1809"/>
      <c r="AC24" s="1809"/>
    </row>
    <row r="25" spans="1:29" ht="199.5">
      <c r="A25" s="404"/>
      <c r="B25" s="1382" t="s">
        <v>2739</v>
      </c>
      <c r="C25" s="2660"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4"/>
      <c r="Q25" s="1808" t="str">
        <f t="shared" si="8"/>
        <v>自然及人文环境状况</v>
      </c>
      <c r="R25" s="773" t="s">
        <v>17</v>
      </c>
      <c r="S25" s="774">
        <f>F25</f>
        <v>100</v>
      </c>
      <c r="T25" s="773" t="s">
        <v>17</v>
      </c>
      <c r="U25" s="774">
        <f>H25</f>
        <v>100</v>
      </c>
      <c r="V25" s="773" t="s">
        <v>17</v>
      </c>
      <c r="W25" s="774">
        <f>J25</f>
        <v>100</v>
      </c>
      <c r="X25" s="1811"/>
      <c r="Y25" s="3264"/>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9"/>
      <c r="M26" s="1130"/>
      <c r="N26" s="1130"/>
      <c r="O26" s="1138"/>
      <c r="P26" s="3264"/>
      <c r="Q26" s="1808"/>
      <c r="R26" s="773"/>
      <c r="S26" s="774"/>
      <c r="T26" s="773"/>
      <c r="U26" s="774"/>
      <c r="V26" s="773"/>
      <c r="W26" s="774"/>
      <c r="X26" s="1811"/>
      <c r="Y26" s="3264"/>
      <c r="Z26" s="1812"/>
      <c r="AA26" s="1809">
        <v>1</v>
      </c>
      <c r="AB26" s="1809">
        <v>1</v>
      </c>
      <c r="AC26" s="1809">
        <v>1</v>
      </c>
    </row>
    <row r="27" spans="1:29" s="117" customFormat="1" ht="242.25">
      <c r="A27" s="649"/>
      <c r="B27" s="1382" t="s">
        <v>2644</v>
      </c>
      <c r="C27" s="260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4"/>
      <c r="Q27" s="1793" t="str">
        <f t="shared" si="8"/>
        <v>公共配套设施</v>
      </c>
      <c r="R27" s="769" t="s">
        <v>17</v>
      </c>
      <c r="S27" s="770">
        <f>F27</f>
        <v>100</v>
      </c>
      <c r="T27" s="769" t="s">
        <v>17</v>
      </c>
      <c r="U27" s="770">
        <f>H27</f>
        <v>100</v>
      </c>
      <c r="V27" s="769" t="s">
        <v>17</v>
      </c>
      <c r="W27" s="770">
        <f>J27</f>
        <v>100</v>
      </c>
      <c r="X27" s="771"/>
      <c r="Y27" s="3264"/>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1"/>
      <c r="M28" s="1132"/>
      <c r="N28" s="1132"/>
      <c r="O28" s="1133"/>
      <c r="P28" s="3264"/>
      <c r="Q28" s="1793"/>
      <c r="R28" s="769"/>
      <c r="S28" s="770"/>
      <c r="T28" s="769"/>
      <c r="U28" s="770"/>
      <c r="V28" s="769"/>
      <c r="W28" s="770"/>
      <c r="X28" s="771"/>
      <c r="Y28" s="3264"/>
      <c r="Z28" s="55"/>
      <c r="AA28" s="1809">
        <v>1</v>
      </c>
      <c r="AB28" s="1809">
        <v>1</v>
      </c>
      <c r="AC28" s="1809">
        <v>1</v>
      </c>
    </row>
    <row r="29" spans="1:29" s="117" customFormat="1" ht="28.5">
      <c r="A29" s="649"/>
      <c r="B29" s="1382" t="s">
        <v>2645</v>
      </c>
      <c r="C29" s="2603"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4"/>
      <c r="Q29" s="1793" t="str">
        <f t="shared" ref="Q29" si="9">B29</f>
        <v>基础设施水平</v>
      </c>
      <c r="R29" s="769" t="s">
        <v>17</v>
      </c>
      <c r="S29" s="770">
        <f>F29</f>
        <v>100</v>
      </c>
      <c r="T29" s="769" t="s">
        <v>17</v>
      </c>
      <c r="U29" s="770">
        <f>H29</f>
        <v>100</v>
      </c>
      <c r="V29" s="769" t="s">
        <v>17</v>
      </c>
      <c r="W29" s="770">
        <f>J29</f>
        <v>100</v>
      </c>
      <c r="X29" s="771"/>
      <c r="Y29" s="3264"/>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1"/>
      <c r="M30" s="1132"/>
      <c r="N30" s="1132"/>
      <c r="O30" s="1133"/>
      <c r="P30" s="3264"/>
      <c r="Q30" s="1793"/>
      <c r="R30" s="769"/>
      <c r="S30" s="770"/>
      <c r="T30" s="769"/>
      <c r="U30" s="770"/>
      <c r="V30" s="769"/>
      <c r="W30" s="770"/>
      <c r="X30" s="771"/>
      <c r="Y30" s="3264"/>
      <c r="Z30" s="55"/>
      <c r="AA30" s="1809">
        <v>1</v>
      </c>
      <c r="AB30" s="1809">
        <v>1</v>
      </c>
      <c r="AC30" s="1809">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4"/>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64"/>
      <c r="Z31" s="1812" t="str">
        <f t="shared" ref="Z31:Z45" si="13">Q31</f>
        <v>临街状况</v>
      </c>
      <c r="AA31" s="1809">
        <f t="shared" si="3"/>
        <v>1</v>
      </c>
      <c r="AB31" s="1809">
        <f t="shared" si="4"/>
        <v>1</v>
      </c>
      <c r="AC31" s="1809">
        <f t="shared" si="5"/>
        <v>1</v>
      </c>
    </row>
    <row r="32" spans="1:29" ht="27">
      <c r="A32" s="428"/>
      <c r="B32" s="1382"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4"/>
      <c r="Q32" s="1808" t="str">
        <f t="shared" si="8"/>
        <v>毗邻道路的类型与等级</v>
      </c>
      <c r="R32" s="773" t="s">
        <v>17</v>
      </c>
      <c r="S32" s="774">
        <f t="shared" si="10"/>
        <v>100</v>
      </c>
      <c r="T32" s="773" t="s">
        <v>17</v>
      </c>
      <c r="U32" s="774">
        <f t="shared" si="11"/>
        <v>100</v>
      </c>
      <c r="V32" s="773" t="s">
        <v>17</v>
      </c>
      <c r="W32" s="774">
        <f t="shared" si="12"/>
        <v>100</v>
      </c>
      <c r="X32" s="1811"/>
      <c r="Y32" s="3264"/>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9"/>
      <c r="M33" s="1130"/>
      <c r="N33" s="1130"/>
      <c r="O33" s="1138"/>
      <c r="P33" s="3264"/>
      <c r="Q33" s="1808"/>
      <c r="R33" s="773"/>
      <c r="S33" s="774"/>
      <c r="T33" s="773"/>
      <c r="U33" s="774"/>
      <c r="V33" s="773"/>
      <c r="W33" s="774"/>
      <c r="X33" s="1811"/>
      <c r="Y33" s="3264"/>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4"/>
      <c r="Q34" s="1808" t="str">
        <f t="shared" si="8"/>
        <v>土地级别</v>
      </c>
      <c r="R34" s="773" t="s">
        <v>17</v>
      </c>
      <c r="S34" s="774">
        <f t="shared" si="10"/>
        <v>100</v>
      </c>
      <c r="T34" s="773" t="s">
        <v>17</v>
      </c>
      <c r="U34" s="774">
        <f t="shared" si="11"/>
        <v>100</v>
      </c>
      <c r="V34" s="773" t="s">
        <v>17</v>
      </c>
      <c r="W34" s="774">
        <f t="shared" si="12"/>
        <v>100</v>
      </c>
      <c r="X34" s="1811"/>
      <c r="Y34" s="3264"/>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4"/>
      <c r="Q35" s="1808">
        <f t="shared" si="8"/>
        <v>111</v>
      </c>
      <c r="R35" s="773" t="s">
        <v>17</v>
      </c>
      <c r="S35" s="774">
        <f t="shared" si="10"/>
        <v>100</v>
      </c>
      <c r="T35" s="773" t="s">
        <v>17</v>
      </c>
      <c r="U35" s="774">
        <f t="shared" si="11"/>
        <v>100</v>
      </c>
      <c r="V35" s="773" t="s">
        <v>17</v>
      </c>
      <c r="W35" s="774">
        <f t="shared" si="12"/>
        <v>100</v>
      </c>
      <c r="X35" s="1811"/>
      <c r="Y35" s="3264"/>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0" t="s">
        <v>2555</v>
      </c>
      <c r="Q36" s="1808">
        <f t="shared" si="8"/>
        <v>111</v>
      </c>
      <c r="R36" s="773" t="s">
        <v>17</v>
      </c>
      <c r="S36" s="774">
        <f t="shared" si="10"/>
        <v>100</v>
      </c>
      <c r="T36" s="773" t="s">
        <v>17</v>
      </c>
      <c r="U36" s="774">
        <f t="shared" si="11"/>
        <v>100</v>
      </c>
      <c r="V36" s="773" t="s">
        <v>17</v>
      </c>
      <c r="W36" s="774">
        <f t="shared" si="12"/>
        <v>100</v>
      </c>
      <c r="X36" s="1811"/>
      <c r="Y36" s="3268" t="s">
        <v>2555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8"/>
      <c r="Q37" s="1808">
        <f t="shared" si="8"/>
        <v>111</v>
      </c>
      <c r="R37" s="776" t="s">
        <v>17</v>
      </c>
      <c r="S37" s="777">
        <f t="shared" si="10"/>
        <v>100</v>
      </c>
      <c r="T37" s="776" t="s">
        <v>17</v>
      </c>
      <c r="U37" s="777">
        <f t="shared" si="11"/>
        <v>100</v>
      </c>
      <c r="V37" s="776" t="s">
        <v>17</v>
      </c>
      <c r="W37" s="777">
        <f t="shared" si="12"/>
        <v>100</v>
      </c>
      <c r="X37" s="778"/>
      <c r="Y37" s="3268"/>
      <c r="Z37" s="779">
        <f t="shared" si="13"/>
        <v>111</v>
      </c>
      <c r="AA37" s="1809">
        <f t="shared" si="3"/>
        <v>1</v>
      </c>
      <c r="AB37" s="1809">
        <f t="shared" si="4"/>
        <v>1</v>
      </c>
      <c r="AC37" s="1809">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8"/>
      <c r="Q38" s="1808" t="str">
        <f>B38</f>
        <v>宗地面积</v>
      </c>
      <c r="R38" s="773" t="s">
        <v>17</v>
      </c>
      <c r="S38" s="774" t="e">
        <f t="shared" si="10"/>
        <v>#N/A</v>
      </c>
      <c r="T38" s="773" t="s">
        <v>17</v>
      </c>
      <c r="U38" s="774" t="e">
        <f t="shared" si="11"/>
        <v>#N/A</v>
      </c>
      <c r="V38" s="773" t="s">
        <v>17</v>
      </c>
      <c r="W38" s="774" t="e">
        <f t="shared" si="12"/>
        <v>#N/A</v>
      </c>
      <c r="X38" s="1811"/>
      <c r="Y38" s="3268"/>
      <c r="Z38" s="1812" t="str">
        <f t="shared" si="13"/>
        <v>宗地面积</v>
      </c>
      <c r="AA38" s="1809" t="e">
        <f t="shared" si="3"/>
        <v>#N/A</v>
      </c>
      <c r="AB38" s="1809" t="e">
        <f t="shared" si="4"/>
        <v>#N/A</v>
      </c>
      <c r="AC38" s="1809"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9"/>
      <c r="M39" s="1130"/>
      <c r="N39" s="1130"/>
      <c r="O39" s="1138"/>
      <c r="P39" s="3268"/>
      <c r="Q39" s="1808" t="str">
        <f t="shared" ref="Q39:Q45" si="14">B39</f>
        <v>宗地形状</v>
      </c>
      <c r="R39" s="773" t="s">
        <v>17</v>
      </c>
      <c r="S39" s="774">
        <f t="shared" si="10"/>
        <v>100</v>
      </c>
      <c r="T39" s="773" t="s">
        <v>17</v>
      </c>
      <c r="U39" s="774">
        <f t="shared" si="11"/>
        <v>100</v>
      </c>
      <c r="V39" s="773" t="s">
        <v>17</v>
      </c>
      <c r="W39" s="774">
        <f t="shared" si="12"/>
        <v>100</v>
      </c>
      <c r="X39" s="1811"/>
      <c r="Y39" s="3268"/>
      <c r="Z39" s="1812" t="str">
        <f t="shared" si="13"/>
        <v>宗地形状</v>
      </c>
      <c r="AA39" s="1809">
        <f t="shared" si="3"/>
        <v>1</v>
      </c>
      <c r="AB39" s="1809">
        <f t="shared" si="4"/>
        <v>1</v>
      </c>
      <c r="AC39" s="1809">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68"/>
      <c r="Q40" s="1808" t="str">
        <f t="shared" si="14"/>
        <v>临街宽度及深度</v>
      </c>
      <c r="R40" s="773" t="s">
        <v>17</v>
      </c>
      <c r="S40" s="774">
        <f t="shared" si="10"/>
        <v>100</v>
      </c>
      <c r="T40" s="773" t="s">
        <v>17</v>
      </c>
      <c r="U40" s="774">
        <f t="shared" si="11"/>
        <v>100</v>
      </c>
      <c r="V40" s="773" t="s">
        <v>17</v>
      </c>
      <c r="W40" s="774">
        <f t="shared" si="12"/>
        <v>100</v>
      </c>
      <c r="X40" s="1811"/>
      <c r="Y40" s="3268"/>
      <c r="Z40" s="1812" t="str">
        <f t="shared" si="13"/>
        <v>临街宽度及深度</v>
      </c>
      <c r="AA40" s="1809">
        <f t="shared" si="3"/>
        <v>1</v>
      </c>
      <c r="AB40" s="1809">
        <f t="shared" si="4"/>
        <v>1</v>
      </c>
      <c r="AC40" s="1809">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68"/>
      <c r="Q41" s="1808" t="str">
        <f t="shared" si="14"/>
        <v>宗地开发程度</v>
      </c>
      <c r="R41" s="769" t="s">
        <v>17</v>
      </c>
      <c r="S41" s="770">
        <f t="shared" si="10"/>
        <v>100</v>
      </c>
      <c r="T41" s="769" t="s">
        <v>17</v>
      </c>
      <c r="U41" s="770">
        <f t="shared" si="11"/>
        <v>100</v>
      </c>
      <c r="V41" s="769" t="s">
        <v>17</v>
      </c>
      <c r="W41" s="770">
        <f t="shared" si="12"/>
        <v>100</v>
      </c>
      <c r="X41" s="771"/>
      <c r="Y41" s="3268"/>
      <c r="Z41" s="55" t="str">
        <f t="shared" si="13"/>
        <v>宗地开发程度</v>
      </c>
      <c r="AA41" s="772">
        <f t="shared" si="3"/>
        <v>1</v>
      </c>
      <c r="AB41" s="772">
        <f t="shared" si="4"/>
        <v>1</v>
      </c>
      <c r="AC41" s="772">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68" t="s">
        <v>2555</v>
      </c>
      <c r="Q42" s="1808" t="str">
        <f t="shared" si="14"/>
        <v>工程地质条件</v>
      </c>
      <c r="R42" s="773" t="s">
        <v>17</v>
      </c>
      <c r="S42" s="774">
        <f t="shared" si="10"/>
        <v>100</v>
      </c>
      <c r="T42" s="773" t="s">
        <v>17</v>
      </c>
      <c r="U42" s="774">
        <f t="shared" si="11"/>
        <v>100</v>
      </c>
      <c r="V42" s="773" t="s">
        <v>17</v>
      </c>
      <c r="W42" s="774">
        <f t="shared" si="12"/>
        <v>100</v>
      </c>
      <c r="X42" s="1811"/>
      <c r="Y42" s="3268" t="s">
        <v>2555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8"/>
      <c r="Q43" s="1808">
        <f t="shared" si="14"/>
        <v>111</v>
      </c>
      <c r="R43" s="773" t="s">
        <v>17</v>
      </c>
      <c r="S43" s="774">
        <f t="shared" si="10"/>
        <v>100</v>
      </c>
      <c r="T43" s="773" t="s">
        <v>17</v>
      </c>
      <c r="U43" s="774">
        <f t="shared" si="11"/>
        <v>100</v>
      </c>
      <c r="V43" s="773" t="s">
        <v>17</v>
      </c>
      <c r="W43" s="774">
        <f t="shared" si="12"/>
        <v>100</v>
      </c>
      <c r="X43" s="1811"/>
      <c r="Y43" s="3268"/>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8"/>
      <c r="Q44" s="1808">
        <f t="shared" si="14"/>
        <v>111</v>
      </c>
      <c r="R44" s="773" t="s">
        <v>17</v>
      </c>
      <c r="S44" s="774">
        <f t="shared" si="10"/>
        <v>100</v>
      </c>
      <c r="T44" s="773" t="s">
        <v>17</v>
      </c>
      <c r="U44" s="774">
        <f t="shared" si="11"/>
        <v>100</v>
      </c>
      <c r="V44" s="773" t="s">
        <v>17</v>
      </c>
      <c r="W44" s="774">
        <f t="shared" si="12"/>
        <v>100</v>
      </c>
      <c r="X44" s="1811"/>
      <c r="Y44" s="3268"/>
      <c r="Z44" s="1812">
        <f t="shared" si="13"/>
        <v>111</v>
      </c>
      <c r="AA44" s="1809">
        <f t="shared" si="3"/>
        <v>1</v>
      </c>
      <c r="AB44" s="1809">
        <f t="shared" si="4"/>
        <v>1</v>
      </c>
      <c r="AC44" s="1809">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8"/>
      <c r="Q45" s="1808">
        <f t="shared" si="14"/>
        <v>111</v>
      </c>
      <c r="R45" s="776" t="s">
        <v>17</v>
      </c>
      <c r="S45" s="777">
        <f t="shared" si="10"/>
        <v>100</v>
      </c>
      <c r="T45" s="776" t="s">
        <v>17</v>
      </c>
      <c r="U45" s="777">
        <f t="shared" si="11"/>
        <v>100</v>
      </c>
      <c r="V45" s="776" t="s">
        <v>17</v>
      </c>
      <c r="W45" s="777">
        <f t="shared" si="12"/>
        <v>100</v>
      </c>
      <c r="X45" s="778"/>
      <c r="Y45" s="3268"/>
      <c r="Z45" s="779">
        <f t="shared" si="13"/>
        <v>111</v>
      </c>
      <c r="AA45" s="1809">
        <f t="shared" si="3"/>
        <v>1</v>
      </c>
      <c r="AB45" s="1809">
        <f t="shared" si="4"/>
        <v>1</v>
      </c>
      <c r="AC45" s="1809">
        <f t="shared" si="5"/>
        <v>1</v>
      </c>
    </row>
    <row r="46" spans="1:29" ht="15">
      <c r="A46" s="479" t="s">
        <v>2710</v>
      </c>
      <c r="B46" s="2700" t="s">
        <v>2746</v>
      </c>
      <c r="C46" s="682" t="s">
        <v>1</v>
      </c>
      <c r="D46" s="481"/>
      <c r="E46" s="482"/>
      <c r="F46" s="483"/>
      <c r="G46" s="484"/>
      <c r="H46" s="485"/>
      <c r="I46" s="482"/>
      <c r="J46" s="485"/>
      <c r="K46" s="782"/>
      <c r="L46" s="1142"/>
      <c r="M46" s="1143"/>
      <c r="N46" s="1130"/>
      <c r="O46" s="1143"/>
      <c r="P46" s="3261" t="str">
        <f>A46</f>
        <v>成交单价</v>
      </c>
      <c r="Q46" s="3261"/>
      <c r="R46" s="3256">
        <f>E46</f>
        <v>0</v>
      </c>
      <c r="S46" s="3256"/>
      <c r="T46" s="3256">
        <f>G46</f>
        <v>0</v>
      </c>
      <c r="U46" s="3256"/>
      <c r="V46" s="3256">
        <f>I46</f>
        <v>0</v>
      </c>
      <c r="W46" s="3256"/>
      <c r="X46" s="758"/>
      <c r="Y46" s="780"/>
      <c r="Z46" s="758"/>
      <c r="AA46" s="758"/>
      <c r="AB46" s="758"/>
      <c r="AC46" s="758"/>
    </row>
    <row r="47" spans="1:29" ht="15.75" thickBot="1">
      <c r="A47" s="486" t="s">
        <v>2659</v>
      </c>
      <c r="B47" s="683"/>
      <c r="C47" s="490" t="e">
        <f>R48</f>
        <v>#DIV/0!</v>
      </c>
      <c r="D47" s="489"/>
      <c r="E47" s="490" t="e">
        <f>R47</f>
        <v>#DIV/0!</v>
      </c>
      <c r="F47" s="491"/>
      <c r="G47" s="488" t="e">
        <f>T47</f>
        <v>#DIV/0!</v>
      </c>
      <c r="H47" s="489"/>
      <c r="I47" s="490" t="e">
        <f>V47</f>
        <v>#DIV/0!</v>
      </c>
      <c r="J47" s="489"/>
      <c r="K47" s="783"/>
      <c r="L47" s="1142"/>
      <c r="M47" s="1143"/>
      <c r="N47" s="1143"/>
      <c r="O47" s="1143"/>
      <c r="P47" s="3261" t="str">
        <f>A47</f>
        <v>比较价值（元/平方米）</v>
      </c>
      <c r="Q47" s="3261"/>
      <c r="R47" s="3291" t="e">
        <f>ROUND(PRODUCT(R46,AA7:AA45),0)</f>
        <v>#DIV/0!</v>
      </c>
      <c r="S47" s="3291"/>
      <c r="T47" s="3291" t="e">
        <f>ROUND(PRODUCT(T46,AB7:AB45),0)</f>
        <v>#DIV/0!</v>
      </c>
      <c r="U47" s="3291"/>
      <c r="V47" s="3291" t="e">
        <f>ROUND(PRODUCT(V46,AC7:AC45),0)</f>
        <v>#DIV/0!</v>
      </c>
      <c r="W47" s="3291"/>
      <c r="X47" s="758"/>
      <c r="Y47" s="758"/>
      <c r="Z47" s="758"/>
      <c r="AA47" s="758"/>
      <c r="AB47" s="758"/>
      <c r="AC47" s="758"/>
    </row>
    <row r="48" spans="1:29" ht="15.75" thickBot="1">
      <c r="A48" s="492" t="s">
        <v>2747</v>
      </c>
      <c r="B48" s="493"/>
      <c r="C48" s="494" t="e">
        <f>R48</f>
        <v>#DIV/0!</v>
      </c>
      <c r="D48" s="494"/>
      <c r="E48" s="494"/>
      <c r="F48" s="494"/>
      <c r="G48" s="494"/>
      <c r="H48" s="494"/>
      <c r="I48" s="494"/>
      <c r="J48" s="494"/>
      <c r="K48" s="784"/>
      <c r="L48" s="1142"/>
      <c r="M48" s="1143"/>
      <c r="N48" s="1143"/>
      <c r="O48" s="1143"/>
      <c r="P48" s="3258" t="str">
        <f>A48</f>
        <v>估价对象XX用房的比较价值（楼面单价，元/平方米）</v>
      </c>
      <c r="Q48" s="3259"/>
      <c r="R48" s="3292" t="e">
        <f>ROUND(AVERAGE(R47:V47),0)</f>
        <v>#DIV/0!</v>
      </c>
      <c r="S48" s="3292"/>
      <c r="T48" s="3292"/>
      <c r="U48" s="3292"/>
      <c r="V48" s="3292"/>
      <c r="W48" s="329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2748</v>
      </c>
      <c r="B55" s="685" t="s">
        <v>2749</v>
      </c>
      <c r="C55" s="2701" t="s">
        <v>2750</v>
      </c>
      <c r="D55" s="2702" t="s">
        <v>2751</v>
      </c>
      <c r="E55" s="686" t="s">
        <v>2752</v>
      </c>
      <c r="F55" s="1106" t="s">
        <v>2753</v>
      </c>
      <c r="G55" s="3244" t="s">
        <v>2754</v>
      </c>
      <c r="H55" s="3293"/>
      <c r="I55" s="144" t="s">
        <v>2755</v>
      </c>
      <c r="J55" s="2703">
        <f>项目基本情况!F35</f>
        <v>0</v>
      </c>
      <c r="K55" s="2704" t="s">
        <v>2756</v>
      </c>
      <c r="L55" s="1105"/>
      <c r="M55" s="1143"/>
      <c r="N55" s="1143"/>
      <c r="O55" s="1143"/>
    </row>
    <row r="56" spans="1:15" s="692" customFormat="1">
      <c r="A56" s="688" t="s">
        <v>2757</v>
      </c>
      <c r="B56" s="689" t="e">
        <f>C48</f>
        <v>#DIV/0!</v>
      </c>
      <c r="C56" s="690">
        <v>1</v>
      </c>
      <c r="D56" s="1162">
        <v>1</v>
      </c>
      <c r="E56" s="690">
        <f>'数据-汇总表'!E8+'数据-汇总表'!E9</f>
        <v>435.22</v>
      </c>
      <c r="F56" s="1102" t="e">
        <f t="shared" ref="F56:F65" si="15">ROUND(B56*E56/10000,0)</f>
        <v>#DIV/0!</v>
      </c>
      <c r="G56" s="3243"/>
      <c r="H56" s="3261"/>
      <c r="I56" s="1107">
        <v>1</v>
      </c>
      <c r="J56" s="1110">
        <v>1</v>
      </c>
      <c r="K56" s="1144"/>
      <c r="L56" s="940"/>
      <c r="M56" s="940"/>
      <c r="N56" s="940"/>
      <c r="O56" s="940"/>
    </row>
    <row r="57" spans="1:15" s="692" customFormat="1">
      <c r="A57" s="693" t="s">
        <v>2758</v>
      </c>
      <c r="B57" s="262" t="e">
        <f>ROUND($C$48*C57*D57,0)</f>
        <v>#DIV/0!</v>
      </c>
      <c r="C57" s="200">
        <f t="shared" ref="C57:C65" si="16">IF($C$55="北京市系数",I57,J57)</f>
        <v>0</v>
      </c>
      <c r="D57" s="1163">
        <v>0.25</v>
      </c>
      <c r="E57" s="694"/>
      <c r="F57" s="1102" t="e">
        <f t="shared" si="15"/>
        <v>#DIV/0!</v>
      </c>
      <c r="G57" s="3294" t="s">
        <v>2759</v>
      </c>
      <c r="H57" s="1103">
        <f>项目基本情况!B37</f>
        <v>0</v>
      </c>
      <c r="I57" s="1107">
        <f>SUMIF(修正!A45:A56,H57,修正!B45:B56)</f>
        <v>0</v>
      </c>
      <c r="J57" s="1111"/>
      <c r="K57" s="1143"/>
      <c r="L57" s="940"/>
      <c r="M57" s="940"/>
      <c r="N57" s="940"/>
      <c r="O57" s="940"/>
    </row>
    <row r="58" spans="1:15" s="692" customFormat="1">
      <c r="A58" s="693" t="s">
        <v>2760</v>
      </c>
      <c r="B58" s="262" t="e">
        <f t="shared" ref="B58:B65" si="17">ROUND($C$48*C58*D58,0)</f>
        <v>#DIV/0!</v>
      </c>
      <c r="C58" s="200">
        <f t="shared" si="16"/>
        <v>0</v>
      </c>
      <c r="D58" s="1163">
        <v>0.25</v>
      </c>
      <c r="E58" s="694"/>
      <c r="F58" s="1102" t="e">
        <f t="shared" si="15"/>
        <v>#DIV/0!</v>
      </c>
      <c r="G58" s="3294"/>
      <c r="H58" s="1103">
        <f>项目基本情况!B37</f>
        <v>0</v>
      </c>
      <c r="I58" s="1107">
        <f>SUMIF(修正!A45:A56,H58,修正!C45:C56)</f>
        <v>0</v>
      </c>
      <c r="J58" s="1111"/>
      <c r="K58" s="1144"/>
      <c r="L58" s="940"/>
      <c r="M58" s="940"/>
      <c r="N58" s="940"/>
      <c r="O58" s="940"/>
    </row>
    <row r="59" spans="1:15" s="692" customFormat="1">
      <c r="A59" s="693" t="s">
        <v>2761</v>
      </c>
      <c r="B59" s="262" t="e">
        <f t="shared" si="17"/>
        <v>#DIV/0!</v>
      </c>
      <c r="C59" s="200">
        <f t="shared" si="16"/>
        <v>0</v>
      </c>
      <c r="D59" s="1163">
        <v>0.25</v>
      </c>
      <c r="E59" s="694"/>
      <c r="F59" s="1102" t="e">
        <f t="shared" si="15"/>
        <v>#DIV/0!</v>
      </c>
      <c r="G59" s="3294"/>
      <c r="H59" s="1103">
        <f>项目基本情况!B37</f>
        <v>0</v>
      </c>
      <c r="I59" s="1107">
        <f>SUMIF(修正!A45:A56,H59,修正!D45:D56)</f>
        <v>0</v>
      </c>
      <c r="J59" s="1111"/>
      <c r="K59" s="1143"/>
      <c r="L59" s="940"/>
      <c r="M59" s="940"/>
      <c r="N59" s="940"/>
      <c r="O59" s="940"/>
    </row>
    <row r="60" spans="1:15" s="692" customFormat="1">
      <c r="A60" s="693" t="s">
        <v>2762</v>
      </c>
      <c r="B60" s="262" t="e">
        <f t="shared" si="17"/>
        <v>#DIV/0!</v>
      </c>
      <c r="C60" s="200">
        <f t="shared" si="16"/>
        <v>0</v>
      </c>
      <c r="D60" s="1163">
        <v>0.25</v>
      </c>
      <c r="E60" s="694"/>
      <c r="F60" s="1102" t="e">
        <f t="shared" si="15"/>
        <v>#DIV/0!</v>
      </c>
      <c r="G60" s="3294"/>
      <c r="H60" s="1103">
        <f>项目基本情况!B37</f>
        <v>0</v>
      </c>
      <c r="I60" s="1107">
        <f>SUMIF(修正!A45:A56,H60,修正!E45:E56)</f>
        <v>0</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5" t="s">
        <v>2764</v>
      </c>
      <c r="H61" s="1103" t="str">
        <f>项目基本情况!C37</f>
        <v>五级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2767</v>
      </c>
      <c r="B63" s="262" t="e">
        <f t="shared" si="17"/>
        <v>#DIV/0!</v>
      </c>
      <c r="C63" s="200">
        <f t="shared" si="16"/>
        <v>0</v>
      </c>
      <c r="D63" s="1163">
        <v>0.25</v>
      </c>
      <c r="E63" s="261">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v>
      </c>
      <c r="D64" s="1163">
        <v>0.25</v>
      </c>
      <c r="E64" s="261">
        <f>'数据-汇总表'!E14</f>
        <v>0</v>
      </c>
      <c r="F64" s="1102" t="e">
        <f t="shared" si="15"/>
        <v>#DIV/0!</v>
      </c>
      <c r="G64" s="2705" t="s">
        <v>2759</v>
      </c>
      <c r="H64" s="1103">
        <f>项目基本情况!B37</f>
        <v>0</v>
      </c>
      <c r="I64" s="1107">
        <f>SUMIF(修正!A45:A56,H64,修正!H45:H56)</f>
        <v>0</v>
      </c>
      <c r="J64" s="1111"/>
      <c r="K64" s="1144"/>
      <c r="L64" s="940"/>
      <c r="M64" s="940"/>
      <c r="N64" s="940"/>
      <c r="O64" s="940"/>
    </row>
    <row r="65" spans="1:17" s="692" customFormat="1" ht="15" thickBot="1">
      <c r="A65" s="693" t="s">
        <v>2770</v>
      </c>
      <c r="B65" s="262" t="e">
        <f t="shared" si="17"/>
        <v>#DIV/0!</v>
      </c>
      <c r="C65" s="200">
        <f t="shared" si="16"/>
        <v>0.2</v>
      </c>
      <c r="D65" s="1163">
        <v>0.25</v>
      </c>
      <c r="E65" s="261">
        <f>'数据-汇总表'!E15</f>
        <v>0</v>
      </c>
      <c r="F65" s="1102" t="e">
        <f t="shared" si="15"/>
        <v>#DIV/0!</v>
      </c>
      <c r="G65" s="2706" t="s">
        <v>2764</v>
      </c>
      <c r="H65" s="1113" t="str">
        <f>项目基本情况!C37</f>
        <v>五级</v>
      </c>
      <c r="I65" s="1109">
        <f>SUMIF(修正!A45:A56,H65,修正!H45:H56)</f>
        <v>0.2</v>
      </c>
      <c r="J65" s="1112"/>
      <c r="K65" s="1143"/>
      <c r="L65" s="940"/>
      <c r="M65" s="940"/>
      <c r="N65" s="940"/>
      <c r="O65" s="940"/>
    </row>
    <row r="66" spans="1:17" s="692" customFormat="1" ht="13.5" thickBot="1">
      <c r="A66" s="695" t="s">
        <v>2771</v>
      </c>
      <c r="B66" s="696" t="s">
        <v>28</v>
      </c>
      <c r="C66" s="696" t="s">
        <v>29</v>
      </c>
      <c r="D66" s="696" t="s">
        <v>1026</v>
      </c>
      <c r="E66" s="696">
        <f>IF(B46="楼面地价",SUM(E56:E65),'数据-汇总表'!D3)</f>
        <v>435.22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2664</v>
      </c>
      <c r="B69" s="758"/>
      <c r="C69" s="763"/>
      <c r="D69" s="763"/>
      <c r="E69" s="763"/>
      <c r="F69" s="764"/>
      <c r="G69" s="764"/>
      <c r="H69" s="763"/>
      <c r="I69" s="763"/>
      <c r="J69" s="1158"/>
      <c r="K69" s="1159"/>
      <c r="L69" s="1160"/>
      <c r="M69" s="1158"/>
      <c r="N69" s="1158"/>
      <c r="O69" s="1158"/>
      <c r="P69" s="503"/>
      <c r="Q69" s="504"/>
    </row>
    <row r="70" spans="1:17" s="508" customFormat="1" ht="15">
      <c r="A70" s="2707" t="s">
        <v>2772</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2575</v>
      </c>
      <c r="B72" s="516"/>
      <c r="C72" s="517"/>
      <c r="D72" s="518"/>
      <c r="E72" s="518"/>
      <c r="F72" s="518"/>
      <c r="G72" s="518"/>
      <c r="H72" s="518"/>
      <c r="I72" s="518"/>
      <c r="J72" s="518"/>
      <c r="K72" s="518"/>
      <c r="L72" s="518"/>
      <c r="M72" s="519"/>
      <c r="N72" s="518"/>
      <c r="O72" s="1161"/>
      <c r="P72" s="504"/>
      <c r="Q72" s="504"/>
    </row>
    <row r="73" spans="1:17" s="117" customFormat="1" ht="15">
      <c r="A73" s="521" t="s">
        <v>2540</v>
      </c>
      <c r="B73" s="510"/>
      <c r="C73" s="522" t="s">
        <v>2642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2578</v>
      </c>
      <c r="B75" s="528" t="s">
        <v>2544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4" t="s">
        <v>2636</v>
      </c>
      <c r="D4" s="3245"/>
      <c r="E4" s="3246" t="s">
        <v>2637</v>
      </c>
      <c r="F4" s="3247"/>
      <c r="G4" s="3244" t="s">
        <v>2638</v>
      </c>
      <c r="H4" s="3245"/>
      <c r="I4" s="3244" t="s">
        <v>2639</v>
      </c>
      <c r="J4" s="3245"/>
      <c r="K4" s="610" t="s">
        <v>2640</v>
      </c>
      <c r="L4" s="1129"/>
      <c r="M4" s="1130"/>
      <c r="N4" s="1130"/>
      <c r="O4" s="1130"/>
      <c r="P4" s="3248" t="s">
        <v>2641</v>
      </c>
      <c r="Q4" s="3249"/>
      <c r="R4" s="3231" t="s">
        <v>2637</v>
      </c>
      <c r="S4" s="3232"/>
      <c r="T4" s="3231" t="s">
        <v>2638</v>
      </c>
      <c r="U4" s="3232"/>
      <c r="V4" s="3256" t="s">
        <v>2639</v>
      </c>
      <c r="W4" s="3256"/>
      <c r="X4" s="1811"/>
      <c r="Y4" s="3231" t="s">
        <v>2641</v>
      </c>
      <c r="Z4" s="3232"/>
      <c r="AA4" s="3226" t="s">
        <v>2637</v>
      </c>
      <c r="AB4" s="3227" t="s">
        <v>2638</v>
      </c>
      <c r="AC4" s="3226" t="s">
        <v>2639</v>
      </c>
    </row>
    <row r="5" spans="1:29" ht="15">
      <c r="A5" s="404"/>
      <c r="B5" s="405"/>
      <c r="C5" s="3237" t="s">
        <v>2532</v>
      </c>
      <c r="D5" s="3238"/>
      <c r="E5" s="3235" t="s">
        <v>2533</v>
      </c>
      <c r="F5" s="3236"/>
      <c r="G5" s="3237" t="s">
        <v>2534</v>
      </c>
      <c r="H5" s="3238"/>
      <c r="I5" s="3237" t="s">
        <v>2535</v>
      </c>
      <c r="J5" s="3238"/>
      <c r="K5" s="610"/>
      <c r="L5" s="1129"/>
      <c r="M5" s="1130"/>
      <c r="N5" s="1130"/>
      <c r="O5" s="1130"/>
      <c r="P5" s="3250"/>
      <c r="Q5" s="3251"/>
      <c r="R5" s="3233"/>
      <c r="S5" s="3234"/>
      <c r="T5" s="3233"/>
      <c r="U5" s="3234"/>
      <c r="V5" s="3256"/>
      <c r="W5" s="3256"/>
      <c r="X5" s="1811"/>
      <c r="Y5" s="3233"/>
      <c r="Z5" s="3234"/>
      <c r="AA5" s="3227"/>
      <c r="AB5" s="3227"/>
      <c r="AC5" s="3227"/>
    </row>
    <row r="6" spans="1:29" ht="15.75" thickBot="1">
      <c r="A6" s="406"/>
      <c r="B6" s="407"/>
      <c r="C6" s="3295" t="s">
        <v>2787</v>
      </c>
      <c r="D6" s="3296"/>
      <c r="E6" s="3297" t="s">
        <v>2787</v>
      </c>
      <c r="F6" s="3298"/>
      <c r="G6" s="3295" t="s">
        <v>2787</v>
      </c>
      <c r="H6" s="3296"/>
      <c r="I6" s="3295" t="s">
        <v>2787</v>
      </c>
      <c r="J6" s="3296"/>
      <c r="K6" s="610" t="s">
        <v>2537</v>
      </c>
      <c r="L6" s="1129"/>
      <c r="M6" s="1130"/>
      <c r="N6" s="1130"/>
      <c r="O6" s="1130"/>
      <c r="P6" s="3252"/>
      <c r="Q6" s="3253"/>
      <c r="R6" s="3233"/>
      <c r="S6" s="3234"/>
      <c r="T6" s="3254"/>
      <c r="U6" s="3255"/>
      <c r="V6" s="3256"/>
      <c r="W6" s="3256"/>
      <c r="X6" s="1811"/>
      <c r="Y6" s="3254"/>
      <c r="Z6" s="3255"/>
      <c r="AA6" s="3228"/>
      <c r="AB6" s="3228"/>
      <c r="AC6" s="3228"/>
    </row>
    <row r="7" spans="1:29" s="117" customFormat="1" ht="15.75" thickBot="1">
      <c r="A7" s="408" t="s">
        <v>2538</v>
      </c>
      <c r="B7" s="409"/>
      <c r="C7" s="410">
        <f>'数据-取费表'!B2</f>
        <v>43718</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229" t="s">
        <v>2539</v>
      </c>
      <c r="Q7" s="3257"/>
      <c r="R7" s="769" t="s">
        <v>17</v>
      </c>
      <c r="S7" s="770">
        <f t="shared" ref="S7:S15" si="0">F7</f>
        <v>0</v>
      </c>
      <c r="T7" s="769" t="s">
        <v>17</v>
      </c>
      <c r="U7" s="770">
        <f t="shared" ref="U7:U15" si="1">H7</f>
        <v>0</v>
      </c>
      <c r="V7" s="769" t="s">
        <v>17</v>
      </c>
      <c r="W7" s="770">
        <f t="shared" ref="W7:W15" si="2">J7</f>
        <v>0</v>
      </c>
      <c r="X7" s="771"/>
      <c r="Y7" s="3229" t="s">
        <v>2539</v>
      </c>
      <c r="Z7" s="3230"/>
      <c r="AA7" s="772" t="e">
        <f>D7/F7</f>
        <v>#DIV/0!</v>
      </c>
      <c r="AB7" s="772" t="e">
        <f>D7/H7</f>
        <v>#DIV/0!</v>
      </c>
      <c r="AC7" s="772"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9" t="s">
        <v>2542</v>
      </c>
      <c r="Q8" s="3230"/>
      <c r="R8" s="769" t="s">
        <v>17</v>
      </c>
      <c r="S8" s="770">
        <f t="shared" si="0"/>
        <v>0</v>
      </c>
      <c r="T8" s="769" t="s">
        <v>17</v>
      </c>
      <c r="U8" s="770">
        <f t="shared" si="1"/>
        <v>0</v>
      </c>
      <c r="V8" s="769" t="s">
        <v>17</v>
      </c>
      <c r="W8" s="770">
        <f t="shared" si="2"/>
        <v>0</v>
      </c>
      <c r="X8" s="771"/>
      <c r="Y8" s="3229" t="s">
        <v>2542</v>
      </c>
      <c r="Z8" s="3230"/>
      <c r="AA8" s="772" t="e">
        <f t="shared" ref="AA8:AA40" si="3">D8/F8</f>
        <v>#DIV/0!</v>
      </c>
      <c r="AB8" s="772" t="e">
        <f t="shared" ref="AB8:AB40" si="4">D8/H8</f>
        <v>#DIV/0!</v>
      </c>
      <c r="AC8" s="772" t="e">
        <f t="shared" ref="AC8:AC40" si="5">D8/J8</f>
        <v>#DIV/0!</v>
      </c>
    </row>
    <row r="9" spans="1:29" s="117" customFormat="1">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261" t="s">
        <v>2545</v>
      </c>
      <c r="Q9" s="1793" t="str">
        <f t="shared" ref="Q9:Q15" si="6">B9</f>
        <v>用途</v>
      </c>
      <c r="R9" s="769" t="s">
        <v>17</v>
      </c>
      <c r="S9" s="770">
        <f t="shared" si="0"/>
        <v>100</v>
      </c>
      <c r="T9" s="769" t="s">
        <v>17</v>
      </c>
      <c r="U9" s="770">
        <f t="shared" si="1"/>
        <v>100</v>
      </c>
      <c r="V9" s="769" t="s">
        <v>17</v>
      </c>
      <c r="W9" s="770">
        <f t="shared" si="2"/>
        <v>100</v>
      </c>
      <c r="X9" s="771"/>
      <c r="Y9" s="3076" t="s">
        <v>2546</v>
      </c>
      <c r="Z9" s="55" t="str">
        <f t="shared" ref="Z9:Z15" si="7">Q9</f>
        <v>用途</v>
      </c>
      <c r="AA9" s="772">
        <f t="shared" si="3"/>
        <v>1</v>
      </c>
      <c r="AB9" s="772">
        <f t="shared" si="4"/>
        <v>1</v>
      </c>
      <c r="AC9" s="772">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61"/>
      <c r="Q10" s="1793" t="str">
        <f t="shared" si="6"/>
        <v>土地使用年限（年）</v>
      </c>
      <c r="R10" s="769" t="s">
        <v>17</v>
      </c>
      <c r="S10" s="770">
        <f t="shared" si="0"/>
        <v>106</v>
      </c>
      <c r="T10" s="769" t="s">
        <v>17</v>
      </c>
      <c r="U10" s="770">
        <f t="shared" si="1"/>
        <v>106</v>
      </c>
      <c r="V10" s="769" t="s">
        <v>17</v>
      </c>
      <c r="W10" s="770">
        <f t="shared" si="2"/>
        <v>106</v>
      </c>
      <c r="X10" s="771"/>
      <c r="Y10" s="3076"/>
      <c r="Z10" s="55" t="str">
        <f t="shared" si="7"/>
        <v>土地使用年限（年）</v>
      </c>
      <c r="AA10" s="772">
        <f t="shared" si="3"/>
        <v>0.94339622641509435</v>
      </c>
      <c r="AB10" s="772">
        <f t="shared" si="4"/>
        <v>0.94339622641509435</v>
      </c>
      <c r="AC10" s="772">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61"/>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61"/>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61"/>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61"/>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57">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63" t="s">
        <v>2550</v>
      </c>
      <c r="Q15" s="1808" t="str">
        <f t="shared" si="6"/>
        <v>产业集聚程度</v>
      </c>
      <c r="R15" s="773" t="s">
        <v>17</v>
      </c>
      <c r="S15" s="774">
        <f t="shared" si="0"/>
        <v>100</v>
      </c>
      <c r="T15" s="773" t="s">
        <v>17</v>
      </c>
      <c r="U15" s="774">
        <f t="shared" si="1"/>
        <v>100</v>
      </c>
      <c r="V15" s="773" t="s">
        <v>17</v>
      </c>
      <c r="W15" s="774">
        <f t="shared" si="2"/>
        <v>100</v>
      </c>
      <c r="X15" s="1811"/>
      <c r="Y15" s="3263" t="s">
        <v>2550</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9"/>
      <c r="M16" s="1130"/>
      <c r="N16" s="1130"/>
      <c r="O16" s="1138"/>
      <c r="P16" s="3264"/>
      <c r="Q16" s="1808"/>
      <c r="R16" s="773"/>
      <c r="S16" s="774"/>
      <c r="T16" s="773"/>
      <c r="U16" s="774"/>
      <c r="V16" s="773"/>
      <c r="W16" s="774"/>
      <c r="X16" s="1811"/>
      <c r="Y16" s="3264"/>
      <c r="Z16" s="1812"/>
      <c r="AA16" s="1809">
        <v>1</v>
      </c>
      <c r="AB16" s="1809">
        <v>1</v>
      </c>
      <c r="AC16" s="1809">
        <v>1</v>
      </c>
    </row>
    <row r="17" spans="1:29" ht="85.5">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4"/>
      <c r="Q17" s="1808" t="str">
        <f>B17</f>
        <v>交通便捷度</v>
      </c>
      <c r="R17" s="773" t="s">
        <v>17</v>
      </c>
      <c r="S17" s="774">
        <f>F17</f>
        <v>100</v>
      </c>
      <c r="T17" s="773" t="s">
        <v>17</v>
      </c>
      <c r="U17" s="774">
        <f>H17</f>
        <v>100</v>
      </c>
      <c r="V17" s="773" t="s">
        <v>17</v>
      </c>
      <c r="W17" s="774">
        <f>J17</f>
        <v>100</v>
      </c>
      <c r="X17" s="1811"/>
      <c r="Y17" s="3264"/>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9"/>
      <c r="M18" s="1130"/>
      <c r="N18" s="1130"/>
      <c r="O18" s="1138"/>
      <c r="P18" s="3264"/>
      <c r="Q18" s="1808"/>
      <c r="R18" s="773"/>
      <c r="S18" s="774"/>
      <c r="T18" s="773"/>
      <c r="U18" s="774"/>
      <c r="V18" s="773"/>
      <c r="W18" s="774"/>
      <c r="X18" s="1811"/>
      <c r="Y18" s="3264"/>
      <c r="Z18" s="1812"/>
      <c r="AA18" s="1809">
        <v>1</v>
      </c>
      <c r="AB18" s="1809">
        <v>1</v>
      </c>
      <c r="AC18" s="1809">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4"/>
      <c r="Q19" s="1808" t="str">
        <f t="shared" ref="Q19:Q33" si="8">B19</f>
        <v>区域土地利用方向</v>
      </c>
      <c r="R19" s="773" t="s">
        <v>17</v>
      </c>
      <c r="S19" s="774">
        <f>F19</f>
        <v>100</v>
      </c>
      <c r="T19" s="773" t="s">
        <v>17</v>
      </c>
      <c r="U19" s="774">
        <f>H19</f>
        <v>100</v>
      </c>
      <c r="V19" s="773" t="s">
        <v>17</v>
      </c>
      <c r="W19" s="774">
        <f>J19</f>
        <v>100</v>
      </c>
      <c r="X19" s="1811"/>
      <c r="Y19" s="3264"/>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1"/>
      <c r="L20" s="1139"/>
      <c r="M20" s="1130"/>
      <c r="N20" s="1130"/>
      <c r="O20" s="1138"/>
      <c r="P20" s="3264"/>
      <c r="Q20" s="1808"/>
      <c r="R20" s="773"/>
      <c r="S20" s="774"/>
      <c r="T20" s="773"/>
      <c r="U20" s="774"/>
      <c r="V20" s="773"/>
      <c r="W20" s="774"/>
      <c r="X20" s="1811"/>
      <c r="Y20" s="3264"/>
      <c r="Z20" s="1812"/>
      <c r="AA20" s="1809"/>
      <c r="AB20" s="1809"/>
      <c r="AC20" s="1809"/>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4"/>
      <c r="Q21" s="1808" t="str">
        <f t="shared" si="8"/>
        <v>环境状况</v>
      </c>
      <c r="R21" s="773" t="s">
        <v>17</v>
      </c>
      <c r="S21" s="774">
        <f>F21</f>
        <v>100</v>
      </c>
      <c r="T21" s="773" t="s">
        <v>17</v>
      </c>
      <c r="U21" s="774">
        <f>H21</f>
        <v>100</v>
      </c>
      <c r="V21" s="773" t="s">
        <v>17</v>
      </c>
      <c r="W21" s="774">
        <f>J21</f>
        <v>100</v>
      </c>
      <c r="X21" s="1811"/>
      <c r="Y21" s="3264"/>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9"/>
      <c r="M22" s="1130"/>
      <c r="N22" s="1130"/>
      <c r="O22" s="1138"/>
      <c r="P22" s="3264"/>
      <c r="Q22" s="1808"/>
      <c r="R22" s="773"/>
      <c r="S22" s="774"/>
      <c r="T22" s="773"/>
      <c r="U22" s="774"/>
      <c r="V22" s="773"/>
      <c r="W22" s="774"/>
      <c r="X22" s="1811"/>
      <c r="Y22" s="3264"/>
      <c r="Z22" s="1812"/>
      <c r="AA22" s="1809">
        <v>1</v>
      </c>
      <c r="AB22" s="1809">
        <v>1</v>
      </c>
      <c r="AC22" s="1809">
        <v>1</v>
      </c>
    </row>
    <row r="23" spans="1:29" s="117" customFormat="1" ht="42.75">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4"/>
      <c r="Q23" s="1793" t="str">
        <f t="shared" si="8"/>
        <v>公共配套设施</v>
      </c>
      <c r="R23" s="769" t="s">
        <v>17</v>
      </c>
      <c r="S23" s="770">
        <f>F23</f>
        <v>100</v>
      </c>
      <c r="T23" s="769" t="s">
        <v>17</v>
      </c>
      <c r="U23" s="770">
        <f>H23</f>
        <v>100</v>
      </c>
      <c r="V23" s="769" t="s">
        <v>17</v>
      </c>
      <c r="W23" s="770">
        <f>J23</f>
        <v>100</v>
      </c>
      <c r="X23" s="771"/>
      <c r="Y23" s="3264"/>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1"/>
      <c r="M24" s="1132"/>
      <c r="N24" s="1132"/>
      <c r="O24" s="1133"/>
      <c r="P24" s="3264"/>
      <c r="Q24" s="1793"/>
      <c r="R24" s="769"/>
      <c r="S24" s="770"/>
      <c r="T24" s="769"/>
      <c r="U24" s="770"/>
      <c r="V24" s="769"/>
      <c r="W24" s="770"/>
      <c r="X24" s="771"/>
      <c r="Y24" s="3264"/>
      <c r="Z24" s="55"/>
      <c r="AA24" s="772">
        <v>1</v>
      </c>
      <c r="AB24" s="772">
        <v>1</v>
      </c>
      <c r="AC24" s="772">
        <v>1</v>
      </c>
    </row>
    <row r="25" spans="1:29" s="117" customFormat="1" ht="28.5">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4"/>
      <c r="Q25" s="1793" t="str">
        <f t="shared" ref="Q25" si="9">B25</f>
        <v>基础设施水平</v>
      </c>
      <c r="R25" s="769" t="s">
        <v>17</v>
      </c>
      <c r="S25" s="770">
        <f>F25</f>
        <v>100</v>
      </c>
      <c r="T25" s="769" t="s">
        <v>17</v>
      </c>
      <c r="U25" s="770">
        <f>H25</f>
        <v>100</v>
      </c>
      <c r="V25" s="769" t="s">
        <v>17</v>
      </c>
      <c r="W25" s="770">
        <f>J25</f>
        <v>100</v>
      </c>
      <c r="X25" s="771"/>
      <c r="Y25" s="3264"/>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1"/>
      <c r="M26" s="1132"/>
      <c r="N26" s="1132"/>
      <c r="O26" s="1133"/>
      <c r="P26" s="3264"/>
      <c r="Q26" s="1793"/>
      <c r="R26" s="769"/>
      <c r="S26" s="770"/>
      <c r="T26" s="769"/>
      <c r="U26" s="770"/>
      <c r="V26" s="769"/>
      <c r="W26" s="770"/>
      <c r="X26" s="771"/>
      <c r="Y26" s="3264"/>
      <c r="Z26" s="55"/>
      <c r="AA26" s="772">
        <v>1</v>
      </c>
      <c r="AB26" s="772">
        <v>1</v>
      </c>
      <c r="AC26" s="772">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64"/>
      <c r="Z27" s="1812" t="str">
        <f t="shared" ref="Z27:Z40" si="13">Q27</f>
        <v>临街状况</v>
      </c>
      <c r="AA27" s="1809">
        <f t="shared" si="3"/>
        <v>1</v>
      </c>
      <c r="AB27" s="1809">
        <f t="shared" si="4"/>
        <v>1</v>
      </c>
      <c r="AC27" s="1809">
        <f t="shared" si="5"/>
        <v>1</v>
      </c>
    </row>
    <row r="28" spans="1:29" ht="27">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4"/>
      <c r="Q28" s="1808" t="str">
        <f t="shared" si="8"/>
        <v>毗邻道路的类型与等级</v>
      </c>
      <c r="R28" s="773" t="s">
        <v>17</v>
      </c>
      <c r="S28" s="774">
        <f t="shared" si="10"/>
        <v>100</v>
      </c>
      <c r="T28" s="773" t="s">
        <v>17</v>
      </c>
      <c r="U28" s="774">
        <f t="shared" si="11"/>
        <v>100</v>
      </c>
      <c r="V28" s="773" t="s">
        <v>17</v>
      </c>
      <c r="W28" s="774">
        <f t="shared" si="12"/>
        <v>100</v>
      </c>
      <c r="X28" s="1811"/>
      <c r="Y28" s="3264"/>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9"/>
      <c r="M29" s="1130"/>
      <c r="N29" s="1130"/>
      <c r="O29" s="1138"/>
      <c r="P29" s="3264"/>
      <c r="Q29" s="1808"/>
      <c r="R29" s="773"/>
      <c r="S29" s="774"/>
      <c r="T29" s="773"/>
      <c r="U29" s="774"/>
      <c r="V29" s="773"/>
      <c r="W29" s="774"/>
      <c r="X29" s="1811"/>
      <c r="Y29" s="3264"/>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4"/>
      <c r="Q30" s="1808" t="str">
        <f t="shared" si="8"/>
        <v>土地级别</v>
      </c>
      <c r="R30" s="773" t="s">
        <v>17</v>
      </c>
      <c r="S30" s="774">
        <f t="shared" si="10"/>
        <v>100</v>
      </c>
      <c r="T30" s="773" t="s">
        <v>17</v>
      </c>
      <c r="U30" s="774">
        <f t="shared" si="11"/>
        <v>100</v>
      </c>
      <c r="V30" s="773" t="s">
        <v>17</v>
      </c>
      <c r="W30" s="774">
        <f t="shared" si="12"/>
        <v>100</v>
      </c>
      <c r="X30" s="1811"/>
      <c r="Y30" s="3264"/>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4"/>
      <c r="Q31" s="1808">
        <f t="shared" si="8"/>
        <v>111</v>
      </c>
      <c r="R31" s="773" t="s">
        <v>17</v>
      </c>
      <c r="S31" s="774">
        <f t="shared" si="10"/>
        <v>100</v>
      </c>
      <c r="T31" s="773" t="s">
        <v>17</v>
      </c>
      <c r="U31" s="774">
        <f t="shared" si="11"/>
        <v>100</v>
      </c>
      <c r="V31" s="773" t="s">
        <v>17</v>
      </c>
      <c r="W31" s="774">
        <f t="shared" si="12"/>
        <v>100</v>
      </c>
      <c r="X31" s="1811"/>
      <c r="Y31" s="3264"/>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0" t="s">
        <v>2555</v>
      </c>
      <c r="Q32" s="1808">
        <f t="shared" si="8"/>
        <v>111</v>
      </c>
      <c r="R32" s="773" t="s">
        <v>17</v>
      </c>
      <c r="S32" s="774">
        <f t="shared" si="10"/>
        <v>100</v>
      </c>
      <c r="T32" s="773" t="s">
        <v>17</v>
      </c>
      <c r="U32" s="774">
        <f t="shared" si="11"/>
        <v>100</v>
      </c>
      <c r="V32" s="773" t="s">
        <v>17</v>
      </c>
      <c r="W32" s="774">
        <f t="shared" si="12"/>
        <v>100</v>
      </c>
      <c r="X32" s="1811"/>
      <c r="Y32" s="3268" t="s">
        <v>2555</v>
      </c>
      <c r="Z32" s="1812">
        <f t="shared" si="13"/>
        <v>111</v>
      </c>
      <c r="AA32" s="1809">
        <f t="shared" si="3"/>
        <v>1</v>
      </c>
      <c r="AB32" s="1809">
        <f t="shared" si="4"/>
        <v>1</v>
      </c>
      <c r="AC32" s="1809">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8"/>
      <c r="Q33" s="1808">
        <f t="shared" si="8"/>
        <v>111</v>
      </c>
      <c r="R33" s="776" t="s">
        <v>17</v>
      </c>
      <c r="S33" s="777">
        <f t="shared" si="10"/>
        <v>100</v>
      </c>
      <c r="T33" s="776" t="s">
        <v>17</v>
      </c>
      <c r="U33" s="777">
        <f t="shared" si="11"/>
        <v>100</v>
      </c>
      <c r="V33" s="776" t="s">
        <v>17</v>
      </c>
      <c r="W33" s="777">
        <f t="shared" si="12"/>
        <v>100</v>
      </c>
      <c r="X33" s="778"/>
      <c r="Y33" s="3268"/>
      <c r="Z33" s="779">
        <f t="shared" si="13"/>
        <v>111</v>
      </c>
      <c r="AA33" s="1809">
        <f t="shared" si="3"/>
        <v>1</v>
      </c>
      <c r="AB33" s="1809">
        <f t="shared" si="4"/>
        <v>1</v>
      </c>
      <c r="AC33" s="1809">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8"/>
      <c r="Q34" s="1808" t="str">
        <f>B34</f>
        <v>宗地面积</v>
      </c>
      <c r="R34" s="773" t="s">
        <v>17</v>
      </c>
      <c r="S34" s="774" t="e">
        <f t="shared" si="10"/>
        <v>#N/A</v>
      </c>
      <c r="T34" s="773" t="s">
        <v>17</v>
      </c>
      <c r="U34" s="774" t="e">
        <f t="shared" si="11"/>
        <v>#N/A</v>
      </c>
      <c r="V34" s="773" t="s">
        <v>17</v>
      </c>
      <c r="W34" s="774" t="e">
        <f t="shared" si="12"/>
        <v>#N/A</v>
      </c>
      <c r="X34" s="1811"/>
      <c r="Y34" s="3268"/>
      <c r="Z34" s="1812" t="str">
        <f t="shared" si="13"/>
        <v>宗地面积</v>
      </c>
      <c r="AA34" s="1809" t="e">
        <f t="shared" si="3"/>
        <v>#N/A</v>
      </c>
      <c r="AB34" s="1809" t="e">
        <f t="shared" si="4"/>
        <v>#N/A</v>
      </c>
      <c r="AC34" s="1809"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68"/>
      <c r="Q35" s="1808" t="str">
        <f t="shared" ref="Q35:Q40" si="14">B35</f>
        <v>宗地形状</v>
      </c>
      <c r="R35" s="773" t="s">
        <v>17</v>
      </c>
      <c r="S35" s="774">
        <f t="shared" si="10"/>
        <v>100</v>
      </c>
      <c r="T35" s="773" t="s">
        <v>17</v>
      </c>
      <c r="U35" s="774">
        <f t="shared" si="11"/>
        <v>100</v>
      </c>
      <c r="V35" s="773" t="s">
        <v>17</v>
      </c>
      <c r="W35" s="774">
        <f t="shared" si="12"/>
        <v>100</v>
      </c>
      <c r="X35" s="1811"/>
      <c r="Y35" s="3268"/>
      <c r="Z35" s="1812" t="str">
        <f t="shared" si="13"/>
        <v>宗地形状</v>
      </c>
      <c r="AA35" s="1809">
        <f t="shared" si="3"/>
        <v>1</v>
      </c>
      <c r="AB35" s="1809">
        <f t="shared" si="4"/>
        <v>1</v>
      </c>
      <c r="AC35" s="1809">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68"/>
      <c r="Q36" s="1808" t="str">
        <f t="shared" si="14"/>
        <v>宗地开发程度</v>
      </c>
      <c r="R36" s="769" t="s">
        <v>17</v>
      </c>
      <c r="S36" s="770">
        <f t="shared" si="10"/>
        <v>100</v>
      </c>
      <c r="T36" s="769" t="s">
        <v>17</v>
      </c>
      <c r="U36" s="770">
        <f t="shared" si="11"/>
        <v>100</v>
      </c>
      <c r="V36" s="769" t="s">
        <v>17</v>
      </c>
      <c r="W36" s="770">
        <f t="shared" si="12"/>
        <v>100</v>
      </c>
      <c r="X36" s="771"/>
      <c r="Y36" s="3268"/>
      <c r="Z36" s="55" t="str">
        <f t="shared" si="13"/>
        <v>宗地开发程度</v>
      </c>
      <c r="AA36" s="772">
        <f t="shared" si="3"/>
        <v>1</v>
      </c>
      <c r="AB36" s="772">
        <f t="shared" si="4"/>
        <v>1</v>
      </c>
      <c r="AC36" s="772">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68" t="s">
        <v>2555</v>
      </c>
      <c r="Q37" s="1808" t="str">
        <f t="shared" si="14"/>
        <v>工程地质条件</v>
      </c>
      <c r="R37" s="773" t="s">
        <v>17</v>
      </c>
      <c r="S37" s="774">
        <f t="shared" si="10"/>
        <v>100</v>
      </c>
      <c r="T37" s="773" t="s">
        <v>17</v>
      </c>
      <c r="U37" s="774">
        <f t="shared" si="11"/>
        <v>100</v>
      </c>
      <c r="V37" s="773" t="s">
        <v>17</v>
      </c>
      <c r="W37" s="774">
        <f t="shared" si="12"/>
        <v>100</v>
      </c>
      <c r="X37" s="1811"/>
      <c r="Y37" s="3268" t="s">
        <v>2555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8"/>
      <c r="Q38" s="1808">
        <f t="shared" si="14"/>
        <v>111</v>
      </c>
      <c r="R38" s="773" t="s">
        <v>17</v>
      </c>
      <c r="S38" s="774">
        <f t="shared" si="10"/>
        <v>100</v>
      </c>
      <c r="T38" s="773" t="s">
        <v>17</v>
      </c>
      <c r="U38" s="774">
        <f t="shared" si="11"/>
        <v>100</v>
      </c>
      <c r="V38" s="773" t="s">
        <v>17</v>
      </c>
      <c r="W38" s="774">
        <f t="shared" si="12"/>
        <v>100</v>
      </c>
      <c r="X38" s="1811"/>
      <c r="Y38" s="3268"/>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8"/>
      <c r="Q39" s="1808">
        <f t="shared" si="14"/>
        <v>111</v>
      </c>
      <c r="R39" s="773" t="s">
        <v>17</v>
      </c>
      <c r="S39" s="774">
        <f t="shared" si="10"/>
        <v>100</v>
      </c>
      <c r="T39" s="773" t="s">
        <v>17</v>
      </c>
      <c r="U39" s="774">
        <f t="shared" si="11"/>
        <v>100</v>
      </c>
      <c r="V39" s="773" t="s">
        <v>17</v>
      </c>
      <c r="W39" s="774">
        <f t="shared" si="12"/>
        <v>100</v>
      </c>
      <c r="X39" s="1811"/>
      <c r="Y39" s="3268"/>
      <c r="Z39" s="1812">
        <f t="shared" si="13"/>
        <v>111</v>
      </c>
      <c r="AA39" s="1809">
        <f t="shared" si="3"/>
        <v>1</v>
      </c>
      <c r="AB39" s="1809">
        <f t="shared" si="4"/>
        <v>1</v>
      </c>
      <c r="AC39" s="1809">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8"/>
      <c r="Q40" s="1808">
        <f t="shared" si="14"/>
        <v>111</v>
      </c>
      <c r="R40" s="776" t="s">
        <v>17</v>
      </c>
      <c r="S40" s="777">
        <f t="shared" si="10"/>
        <v>100</v>
      </c>
      <c r="T40" s="776" t="s">
        <v>17</v>
      </c>
      <c r="U40" s="777">
        <f t="shared" si="11"/>
        <v>100</v>
      </c>
      <c r="V40" s="776" t="s">
        <v>17</v>
      </c>
      <c r="W40" s="777">
        <f t="shared" si="12"/>
        <v>100</v>
      </c>
      <c r="X40" s="778"/>
      <c r="Y40" s="3268"/>
      <c r="Z40" s="779">
        <f t="shared" si="13"/>
        <v>111</v>
      </c>
      <c r="AA40" s="1809">
        <f t="shared" si="3"/>
        <v>1</v>
      </c>
      <c r="AB40" s="1809">
        <f t="shared" si="4"/>
        <v>1</v>
      </c>
      <c r="AC40" s="1809">
        <f t="shared" si="5"/>
        <v>1</v>
      </c>
    </row>
    <row r="41" spans="1:29" ht="15">
      <c r="A41" s="479" t="s">
        <v>2710</v>
      </c>
      <c r="B41" s="2700" t="s">
        <v>2790</v>
      </c>
      <c r="C41" s="682" t="s">
        <v>1</v>
      </c>
      <c r="D41" s="481"/>
      <c r="E41" s="482"/>
      <c r="F41" s="483"/>
      <c r="G41" s="484"/>
      <c r="H41" s="485"/>
      <c r="I41" s="482"/>
      <c r="J41" s="485"/>
      <c r="K41" s="782"/>
      <c r="L41" s="1142"/>
      <c r="M41" s="1130"/>
      <c r="N41" s="1130"/>
      <c r="O41" s="1143"/>
      <c r="P41" s="3261" t="str">
        <f>A41</f>
        <v>成交单价</v>
      </c>
      <c r="Q41" s="3261"/>
      <c r="R41" s="3256">
        <f>E41</f>
        <v>0</v>
      </c>
      <c r="S41" s="3256"/>
      <c r="T41" s="3256">
        <f>G41</f>
        <v>0</v>
      </c>
      <c r="U41" s="3256"/>
      <c r="V41" s="3256">
        <f>I41</f>
        <v>0</v>
      </c>
      <c r="W41" s="3256"/>
      <c r="X41" s="758"/>
      <c r="Y41" s="780"/>
      <c r="Z41" s="758"/>
      <c r="AA41" s="758"/>
      <c r="AB41" s="758"/>
      <c r="AC41" s="758"/>
    </row>
    <row r="42" spans="1:29" ht="15.75" thickBot="1">
      <c r="A42" s="486" t="s">
        <v>2659</v>
      </c>
      <c r="B42" s="683"/>
      <c r="C42" s="490" t="e">
        <f>R43</f>
        <v>#DIV/0!</v>
      </c>
      <c r="D42" s="489"/>
      <c r="E42" s="490" t="e">
        <f>R42</f>
        <v>#DIV/0!</v>
      </c>
      <c r="F42" s="491"/>
      <c r="G42" s="488" t="e">
        <f>T42</f>
        <v>#DIV/0!</v>
      </c>
      <c r="H42" s="489"/>
      <c r="I42" s="490" t="e">
        <f>V42</f>
        <v>#DIV/0!</v>
      </c>
      <c r="J42" s="489"/>
      <c r="K42" s="783"/>
      <c r="L42" s="1142"/>
      <c r="M42" s="1130"/>
      <c r="N42" s="1130"/>
      <c r="O42" s="1143"/>
      <c r="P42" s="3261" t="str">
        <f>A42</f>
        <v>比较价值（元/平方米）</v>
      </c>
      <c r="Q42" s="3261"/>
      <c r="R42" s="3291" t="e">
        <f>ROUND(PRODUCT(R41,AA7:AA40),0)</f>
        <v>#DIV/0!</v>
      </c>
      <c r="S42" s="3291"/>
      <c r="T42" s="3291" t="e">
        <f>ROUND(PRODUCT(T41,AB7:AB40),0)</f>
        <v>#DIV/0!</v>
      </c>
      <c r="U42" s="3291"/>
      <c r="V42" s="3291" t="e">
        <f>ROUND(PRODUCT(V41,AC7:AC40),0)</f>
        <v>#DIV/0!</v>
      </c>
      <c r="W42" s="3291"/>
      <c r="X42" s="758"/>
      <c r="Y42" s="758"/>
      <c r="Z42" s="758"/>
      <c r="AA42" s="758"/>
      <c r="AB42" s="758"/>
      <c r="AC42" s="758"/>
    </row>
    <row r="43" spans="1:29" ht="15.75" thickBot="1">
      <c r="A43" s="492" t="s">
        <v>2660</v>
      </c>
      <c r="B43" s="493"/>
      <c r="C43" s="494" t="e">
        <f>R43</f>
        <v>#DIV/0!</v>
      </c>
      <c r="D43" s="494"/>
      <c r="E43" s="494"/>
      <c r="F43" s="494"/>
      <c r="G43" s="494"/>
      <c r="H43" s="494"/>
      <c r="I43" s="494"/>
      <c r="J43" s="494"/>
      <c r="K43" s="784"/>
      <c r="L43" s="1142"/>
      <c r="M43" s="1130"/>
      <c r="N43" s="1130"/>
      <c r="O43" s="1143"/>
      <c r="P43" s="3258" t="str">
        <f>A43</f>
        <v>估价对象XX用房的比较价值（楼面单价，元/平方米）</v>
      </c>
      <c r="Q43" s="3259"/>
      <c r="R43" s="3292" t="e">
        <f>ROUND(AVERAGE(R42:V42),0)</f>
        <v>#DIV/0!</v>
      </c>
      <c r="S43" s="3292"/>
      <c r="T43" s="3292"/>
      <c r="U43" s="3292"/>
      <c r="V43" s="3292"/>
      <c r="W43" s="329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2748</v>
      </c>
      <c r="B50" s="685" t="s">
        <v>2749</v>
      </c>
      <c r="C50" s="2701" t="s">
        <v>2750</v>
      </c>
      <c r="D50" s="2702" t="s">
        <v>2751</v>
      </c>
      <c r="E50" s="686" t="s">
        <v>2752</v>
      </c>
      <c r="F50" s="687" t="s">
        <v>2753</v>
      </c>
      <c r="G50" s="3244" t="s">
        <v>2754</v>
      </c>
      <c r="H50" s="3293"/>
      <c r="I50" s="1812" t="s">
        <v>2791</v>
      </c>
      <c r="J50" s="1812">
        <f>项目基本情况!F35</f>
        <v>0</v>
      </c>
      <c r="K50" s="2704" t="s">
        <v>2756</v>
      </c>
      <c r="L50" s="1105"/>
      <c r="M50" s="1143"/>
      <c r="N50" s="1143"/>
      <c r="O50" s="1143"/>
    </row>
    <row r="51" spans="1:17" s="692" customFormat="1">
      <c r="A51" s="688" t="s">
        <v>2757</v>
      </c>
      <c r="B51" s="689" t="e">
        <f>C43</f>
        <v>#DIV/0!</v>
      </c>
      <c r="C51" s="690">
        <v>1</v>
      </c>
      <c r="D51" s="1162">
        <v>1</v>
      </c>
      <c r="E51" s="690">
        <f>'数据-汇总表'!E8+'数据-汇总表'!E9</f>
        <v>435.22</v>
      </c>
      <c r="F51" s="691" t="e">
        <f t="shared" ref="F51:F60" si="15">ROUND(B51*E51/10000,0)</f>
        <v>#DIV/0!</v>
      </c>
      <c r="G51" s="3243"/>
      <c r="H51" s="3261"/>
      <c r="I51" s="941">
        <v>1</v>
      </c>
      <c r="J51" s="941">
        <v>1</v>
      </c>
      <c r="K51" s="1144"/>
      <c r="L51" s="940"/>
      <c r="M51" s="940"/>
      <c r="N51" s="940"/>
      <c r="O51" s="940"/>
    </row>
    <row r="52" spans="1:17" s="692" customFormat="1">
      <c r="A52" s="693" t="s">
        <v>2758</v>
      </c>
      <c r="B52" s="262" t="e">
        <f>ROUND($C$43*C52*D52,0)</f>
        <v>#DIV/0!</v>
      </c>
      <c r="C52" s="200">
        <f t="shared" ref="C52:C60" si="16">IF($C$50="北京市系数",I52,J52)</f>
        <v>0</v>
      </c>
      <c r="D52" s="1163">
        <v>0.25</v>
      </c>
      <c r="E52" s="694"/>
      <c r="F52" s="691" t="e">
        <f t="shared" si="15"/>
        <v>#DIV/0!</v>
      </c>
      <c r="G52" s="3294" t="s">
        <v>2759</v>
      </c>
      <c r="H52" s="1103">
        <f>项目基本情况!B37</f>
        <v>0</v>
      </c>
      <c r="I52" s="941">
        <f>SUMIF(修正!A45:A56,H52,修正!B45:B56)</f>
        <v>0</v>
      </c>
      <c r="J52" s="942"/>
      <c r="K52" s="1143"/>
      <c r="L52" s="940"/>
      <c r="M52" s="940"/>
      <c r="N52" s="940"/>
      <c r="O52" s="940"/>
    </row>
    <row r="53" spans="1:17" s="692" customFormat="1">
      <c r="A53" s="693" t="s">
        <v>2760</v>
      </c>
      <c r="B53" s="262" t="e">
        <f t="shared" ref="B53:B60" si="17">ROUND($C$43*C53*D53,0)</f>
        <v>#DIV/0!</v>
      </c>
      <c r="C53" s="200">
        <f t="shared" si="16"/>
        <v>0</v>
      </c>
      <c r="D53" s="1163">
        <v>0.25</v>
      </c>
      <c r="E53" s="694"/>
      <c r="F53" s="691" t="e">
        <f t="shared" si="15"/>
        <v>#DIV/0!</v>
      </c>
      <c r="G53" s="3294"/>
      <c r="H53" s="1103">
        <f>项目基本情况!B37</f>
        <v>0</v>
      </c>
      <c r="I53" s="941">
        <f>SUMIF(修正!A45:A56,H53,修正!C45:C56)</f>
        <v>0</v>
      </c>
      <c r="J53" s="942"/>
      <c r="K53" s="1144"/>
      <c r="L53" s="940"/>
      <c r="M53" s="940"/>
      <c r="N53" s="940"/>
      <c r="O53" s="940"/>
    </row>
    <row r="54" spans="1:17" s="692" customFormat="1">
      <c r="A54" s="693" t="s">
        <v>2761</v>
      </c>
      <c r="B54" s="262" t="e">
        <f t="shared" si="17"/>
        <v>#DIV/0!</v>
      </c>
      <c r="C54" s="200">
        <f t="shared" si="16"/>
        <v>0</v>
      </c>
      <c r="D54" s="1163">
        <v>0.25</v>
      </c>
      <c r="E54" s="694"/>
      <c r="F54" s="691" t="e">
        <f t="shared" si="15"/>
        <v>#DIV/0!</v>
      </c>
      <c r="G54" s="3294"/>
      <c r="H54" s="1103">
        <f>项目基本情况!B37</f>
        <v>0</v>
      </c>
      <c r="I54" s="941">
        <f>SUMIF(修正!A45:A56,H54,修正!D45:D56)</f>
        <v>0</v>
      </c>
      <c r="J54" s="942"/>
      <c r="K54" s="1143"/>
      <c r="L54" s="940"/>
      <c r="M54" s="940"/>
      <c r="N54" s="940"/>
      <c r="O54" s="940"/>
    </row>
    <row r="55" spans="1:17" s="692" customFormat="1">
      <c r="A55" s="693" t="s">
        <v>2762</v>
      </c>
      <c r="B55" s="262" t="e">
        <f t="shared" si="17"/>
        <v>#DIV/0!</v>
      </c>
      <c r="C55" s="200">
        <f t="shared" si="16"/>
        <v>0</v>
      </c>
      <c r="D55" s="1163">
        <v>0.25</v>
      </c>
      <c r="E55" s="694"/>
      <c r="F55" s="691" t="e">
        <f t="shared" si="15"/>
        <v>#DIV/0!</v>
      </c>
      <c r="G55" s="3294"/>
      <c r="H55" s="1103">
        <f>项目基本情况!B37</f>
        <v>0</v>
      </c>
      <c r="I55" s="941">
        <f>SUMIF(修正!A45:A56,H55,修正!E45:E56)</f>
        <v>0</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5" t="s">
        <v>2764</v>
      </c>
      <c r="H56" s="1103" t="str">
        <f>项目基本情况!C37</f>
        <v>五级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2767</v>
      </c>
      <c r="B58" s="262" t="e">
        <f t="shared" si="17"/>
        <v>#DIV/0!</v>
      </c>
      <c r="C58" s="200">
        <f t="shared" si="16"/>
        <v>0</v>
      </c>
      <c r="D58" s="1163">
        <v>0.25</v>
      </c>
      <c r="E58" s="261">
        <f>'数据-汇总表'!E13</f>
        <v>0</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v>
      </c>
      <c r="D59" s="1163">
        <v>0.25</v>
      </c>
      <c r="E59" s="261">
        <f>'数据-汇总表'!E14</f>
        <v>0</v>
      </c>
      <c r="F59" s="691" t="e">
        <f t="shared" si="15"/>
        <v>#DIV/0!</v>
      </c>
      <c r="G59" s="2705" t="s">
        <v>2759</v>
      </c>
      <c r="H59" s="1103">
        <f>项目基本情况!B37</f>
        <v>0</v>
      </c>
      <c r="I59" s="941">
        <f>SUMIF(修正!A45:A56,H59,修正!H45:H56)</f>
        <v>0</v>
      </c>
      <c r="J59" s="942"/>
      <c r="K59" s="1144"/>
      <c r="L59" s="940"/>
      <c r="M59" s="940"/>
      <c r="N59" s="940"/>
      <c r="O59" s="940"/>
    </row>
    <row r="60" spans="1:17" s="692" customFormat="1" ht="15" thickBot="1">
      <c r="A60" s="693" t="s">
        <v>2770</v>
      </c>
      <c r="B60" s="262" t="e">
        <f t="shared" si="17"/>
        <v>#DIV/0!</v>
      </c>
      <c r="C60" s="200">
        <f t="shared" si="16"/>
        <v>0.2</v>
      </c>
      <c r="D60" s="1163">
        <v>0.25</v>
      </c>
      <c r="E60" s="261">
        <f>'数据-汇总表'!E15</f>
        <v>0</v>
      </c>
      <c r="F60" s="691" t="e">
        <f t="shared" si="15"/>
        <v>#DIV/0!</v>
      </c>
      <c r="G60" s="2706" t="s">
        <v>2764</v>
      </c>
      <c r="H60" s="1113" t="str">
        <f>项目基本情况!C37</f>
        <v>五级</v>
      </c>
      <c r="I60" s="941">
        <f>SUMIF(修正!A45:A56,H60,修正!H45:H56)</f>
        <v>0.2</v>
      </c>
      <c r="J60" s="942"/>
      <c r="K60" s="1143"/>
      <c r="L60" s="940"/>
      <c r="M60" s="940"/>
      <c r="N60" s="940"/>
      <c r="O60" s="940"/>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2664</v>
      </c>
      <c r="B64" s="758"/>
      <c r="C64" s="763"/>
      <c r="D64" s="763"/>
      <c r="E64" s="763"/>
      <c r="F64" s="764"/>
      <c r="G64" s="764"/>
      <c r="H64" s="763"/>
      <c r="I64" s="763"/>
      <c r="J64" s="763"/>
      <c r="K64" s="765"/>
      <c r="L64" s="766"/>
      <c r="M64" s="763"/>
      <c r="N64" s="763"/>
      <c r="O64" s="1158"/>
      <c r="P64" s="503"/>
      <c r="Q64" s="504"/>
    </row>
    <row r="65" spans="1:17" s="508" customFormat="1" ht="15">
      <c r="A65" s="2707" t="s">
        <v>2772</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2" t="s">
        <v>2792</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2578</v>
      </c>
      <c r="B70" s="528" t="s">
        <v>2544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40" t="s">
        <v>2794</v>
      </c>
      <c r="B1" s="241"/>
      <c r="C1" s="245" t="s">
        <v>2795</v>
      </c>
      <c r="D1" s="388">
        <f>SUM(D29:D30,D33:D39)</f>
        <v>78.53</v>
      </c>
      <c r="E1" s="2713"/>
      <c r="F1" s="2713"/>
      <c r="G1" s="2713"/>
      <c r="H1" s="2713"/>
      <c r="I1" s="2713"/>
      <c r="J1" s="2713"/>
      <c r="K1" s="1368"/>
      <c r="L1" s="2714" t="s">
        <v>2796</v>
      </c>
      <c r="M1" s="1079">
        <f>SUMPRODUCT((区片价!B5:B9=I2)*(区片价!C3:F3=E2)*(区片价!C5:F9))</f>
        <v>0</v>
      </c>
      <c r="N1" s="1082">
        <f>SUMPRODUCT((因素修正幅度!B5:B9=I2)*(因素修正幅度!C3:F3=E2)*(因素修正幅度!C5:F9))</f>
        <v>0</v>
      </c>
      <c r="O1" s="2715"/>
      <c r="P1" s="2715"/>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97</v>
      </c>
      <c r="C2" s="2717" t="s">
        <v>2803</v>
      </c>
      <c r="D2" s="2718" t="s">
        <v>2804</v>
      </c>
      <c r="E2" s="2719" t="s">
        <v>27</v>
      </c>
      <c r="F2" s="2718" t="s">
        <v>2805</v>
      </c>
      <c r="G2" s="2720" t="str">
        <f>IF(E2="商业",项目基本情况!B37,IF(E2="办公",项目基本情况!C37,IF(E2="住宅",项目基本情况!D37,项目基本情况!E37)))</f>
        <v>五级</v>
      </c>
      <c r="H2" s="2718" t="s">
        <v>2806</v>
      </c>
      <c r="I2" s="2720" t="str">
        <f>IF(E2="商业",项目基本情况!B38,IF(E2="办公",项目基本情况!C38,IF(E2="住宅",项目基本情况!D38,项目基本情况!E38)))</f>
        <v>Ⅴ-16</v>
      </c>
      <c r="J2" s="2721"/>
      <c r="K2" s="1368"/>
      <c r="L2" s="2722" t="s">
        <v>2807</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28613</v>
      </c>
      <c r="U2" s="1601"/>
      <c r="V2" s="1600">
        <f ca="1">ROUND(T2*U2/10000,0)</f>
        <v>0</v>
      </c>
      <c r="W2" s="1604"/>
      <c r="X2" s="1604"/>
      <c r="Y2" s="1604"/>
      <c r="Z2" s="1604"/>
      <c r="AA2" s="1604"/>
      <c r="AB2" s="1604"/>
      <c r="AC2" s="1605"/>
      <c r="AD2" s="1606"/>
      <c r="AE2" s="1606"/>
      <c r="AF2" s="1606"/>
      <c r="AG2" s="1606"/>
      <c r="AH2" s="1606"/>
      <c r="AI2" s="1606"/>
      <c r="AJ2" s="1607"/>
    </row>
    <row r="3" spans="1:36" ht="25.5">
      <c r="A3" s="247" t="s">
        <v>2808</v>
      </c>
      <c r="B3" s="248">
        <f ca="1">ROUND(B2*10000/D1,0)</f>
        <v>12352</v>
      </c>
      <c r="C3" s="2717" t="s">
        <v>2809</v>
      </c>
      <c r="D3" s="2718" t="s">
        <v>2810</v>
      </c>
      <c r="E3" s="2723" t="s">
        <v>3091</v>
      </c>
      <c r="F3" s="2724" t="s">
        <v>3092</v>
      </c>
      <c r="G3" s="915">
        <f>IF(F3="宗地容积率",'数据-汇总表'!I4,IF(F3="估价对象容积率",'数据-汇总表'!I6,'数据-汇总表'!I7))</f>
        <v>5.4</v>
      </c>
      <c r="H3" s="198" t="s">
        <v>2811</v>
      </c>
      <c r="I3" s="943"/>
      <c r="J3" s="2721" t="s">
        <v>2812</v>
      </c>
      <c r="K3" s="1368"/>
      <c r="L3" s="2722" t="s">
        <v>2813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20539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15"/>
      <c r="B4" s="3316"/>
      <c r="C4" s="3316"/>
      <c r="D4" s="3317"/>
      <c r="E4" s="3317"/>
      <c r="F4" s="3317"/>
      <c r="G4" s="3317"/>
      <c r="H4" s="3317"/>
      <c r="I4" s="3317"/>
      <c r="J4" s="3318"/>
      <c r="K4" s="1368"/>
      <c r="L4" s="2722" t="s">
        <v>2814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16570</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2815</v>
      </c>
      <c r="C5" s="916">
        <f>ROUND(IF(E2="商业",C6*C7+C16,(IF(E2="住宅",C6*C12+C16,C6+C16))),0)</f>
        <v>11360</v>
      </c>
      <c r="D5" s="1785">
        <f>ROUND(C6+C16,0)</f>
        <v>11360</v>
      </c>
      <c r="E5" s="1785"/>
      <c r="F5" s="2727"/>
      <c r="G5" s="2728"/>
      <c r="H5" s="2728"/>
      <c r="I5" s="2728"/>
      <c r="J5" s="2729"/>
      <c r="K5" s="2730"/>
      <c r="L5" s="2722" t="s">
        <v>2816</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13295</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2817</v>
      </c>
      <c r="B6" s="2736" t="s">
        <v>2818</v>
      </c>
      <c r="C6" s="917">
        <f>SUMIF(L1:L12,G2,M1:M12)</f>
        <v>11360</v>
      </c>
      <c r="D6" s="2737" t="s">
        <v>2819</v>
      </c>
      <c r="E6" s="2738"/>
      <c r="F6" s="2738"/>
      <c r="G6" s="2739"/>
      <c r="H6" s="2739"/>
      <c r="I6" s="2739"/>
      <c r="J6" s="2740"/>
      <c r="K6" s="1840"/>
      <c r="L6" s="2722" t="s">
        <v>2820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11322</v>
      </c>
      <c r="U6" s="1601"/>
      <c r="V6" s="1600">
        <f t="shared" ca="1" si="1"/>
        <v>0</v>
      </c>
      <c r="W6" s="1604"/>
      <c r="X6" s="1604"/>
      <c r="Y6" s="1604"/>
      <c r="Z6" s="1604"/>
      <c r="AA6" s="1604"/>
      <c r="AB6" s="1604"/>
      <c r="AC6" s="2731"/>
      <c r="AD6" s="2732"/>
      <c r="AE6" s="2732"/>
      <c r="AF6" s="2732"/>
      <c r="AG6" s="2732"/>
      <c r="AH6" s="2732"/>
      <c r="AI6" s="2732"/>
      <c r="AJ6" s="2733"/>
    </row>
    <row r="7" spans="1:36" ht="24">
      <c r="A7" s="3299" t="str">
        <f>IF(E2="商业",IF(C8="不临58条商业街","",2),"")</f>
        <v/>
      </c>
      <c r="B7" s="2741" t="s">
        <v>2821</v>
      </c>
      <c r="C7" s="918">
        <f>IF(C8="不临58条商业街",1,ROUND(1+(1.6*E8+1.2*E9+0.8*E10+0.4*E11)*C9,4))</f>
        <v>1</v>
      </c>
      <c r="D7" s="2742" t="s">
        <v>2822</v>
      </c>
      <c r="E7" s="944"/>
      <c r="F7" s="2743"/>
      <c r="G7" s="2744"/>
      <c r="H7" s="2744"/>
      <c r="I7" s="2744"/>
      <c r="J7" s="2745"/>
      <c r="K7" s="1840"/>
      <c r="L7" s="2722" t="s">
        <v>2823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9956</v>
      </c>
      <c r="U7" s="1601"/>
      <c r="V7" s="1600">
        <f t="shared" ca="1" si="1"/>
        <v>0</v>
      </c>
      <c r="W7" s="1814" t="s">
        <v>2824</v>
      </c>
      <c r="X7" s="1602" t="str">
        <f>G2</f>
        <v>五级</v>
      </c>
      <c r="Y7" s="1602" t="s">
        <v>2825</v>
      </c>
      <c r="Z7" s="1603">
        <f>G3</f>
        <v>5.4</v>
      </c>
      <c r="AA7" s="1604"/>
      <c r="AB7" s="1604"/>
      <c r="AC7" s="1605"/>
      <c r="AD7" s="1606"/>
      <c r="AE7" s="1606"/>
      <c r="AF7" s="1606"/>
      <c r="AG7" s="1606"/>
      <c r="AH7" s="1606"/>
      <c r="AI7" s="1606"/>
      <c r="AJ7" s="1607"/>
    </row>
    <row r="8" spans="1:36" ht="25.5">
      <c r="A8" s="3319"/>
      <c r="B8" s="198" t="s">
        <v>2826</v>
      </c>
      <c r="C8" s="2746" t="s">
        <v>3093</v>
      </c>
      <c r="D8" s="919" t="s">
        <v>139</v>
      </c>
      <c r="E8" s="920" t="e">
        <f>ROUND(C11/E7,4)</f>
        <v>#DIV/0!</v>
      </c>
      <c r="F8" s="2747" t="s">
        <v>2827</v>
      </c>
      <c r="G8" s="2748"/>
      <c r="H8" s="2748"/>
      <c r="I8" s="2748"/>
      <c r="J8" s="2749"/>
      <c r="K8" s="1368"/>
      <c r="L8" s="2722" t="s">
        <v>2828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12" t="s">
        <v>2829</v>
      </c>
      <c r="X8" s="3313"/>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319"/>
      <c r="B9" s="198" t="s">
        <v>2842</v>
      </c>
      <c r="C9" s="921">
        <f>SUMIF(修正!C59:C119,C8,修正!E59:E119)</f>
        <v>0</v>
      </c>
      <c r="D9" s="200" t="s">
        <v>140</v>
      </c>
      <c r="E9" s="200" t="e">
        <f>ROUND(C11/E7,4)</f>
        <v>#DIV/0!</v>
      </c>
      <c r="F9" s="2747" t="s">
        <v>2843</v>
      </c>
      <c r="G9" s="2748"/>
      <c r="H9" s="2748"/>
      <c r="I9" s="2748"/>
      <c r="J9" s="2749"/>
      <c r="K9" s="1368"/>
      <c r="L9" s="2722" t="s">
        <v>2844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14"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9"/>
      <c r="B10" s="198" t="s">
        <v>2847</v>
      </c>
      <c r="C10" s="200">
        <f>SUMIF(修正!C59:C119,C8,修正!F59:F119)</f>
        <v>0</v>
      </c>
      <c r="D10" s="200" t="s">
        <v>141</v>
      </c>
      <c r="E10" s="200" t="e">
        <f>ROUND(C11/E7,4)</f>
        <v>#DIV/0!</v>
      </c>
      <c r="F10" s="2747" t="s">
        <v>2848</v>
      </c>
      <c r="G10" s="2748"/>
      <c r="H10" s="2748"/>
      <c r="I10" s="2748"/>
      <c r="J10" s="2749"/>
      <c r="K10" s="1368"/>
      <c r="L10" s="2722" t="s">
        <v>2849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1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9"/>
      <c r="B11" s="2750" t="s">
        <v>2850</v>
      </c>
      <c r="C11" s="922">
        <f>C10/4</f>
        <v>0</v>
      </c>
      <c r="D11" s="922" t="s">
        <v>142</v>
      </c>
      <c r="E11" s="922" t="e">
        <f>ROUND(C11/E7,4)</f>
        <v>#DIV/0!</v>
      </c>
      <c r="F11" s="2751" t="s">
        <v>2851</v>
      </c>
      <c r="G11" s="2752"/>
      <c r="H11" s="2752"/>
      <c r="I11" s="2752"/>
      <c r="J11" s="2753"/>
      <c r="K11" s="1368"/>
      <c r="L11" s="2722" t="s">
        <v>2852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14" t="s">
        <v>2853</v>
      </c>
      <c r="X11" s="1612" t="s">
        <v>2854</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9" t="s">
        <v>2855</v>
      </c>
      <c r="B12" s="2754" t="s">
        <v>2856</v>
      </c>
      <c r="C12" s="918">
        <f>ROUND(C15*D15*E15*F15*G15*H15*I15*J15,4)</f>
        <v>1.1000000000000001</v>
      </c>
      <c r="D12" s="2755" t="s">
        <v>2857</v>
      </c>
      <c r="E12" s="2756"/>
      <c r="F12" s="2756"/>
      <c r="G12" s="2757"/>
      <c r="H12" s="2757"/>
      <c r="I12" s="2757"/>
      <c r="J12" s="2758"/>
      <c r="K12" s="1368"/>
      <c r="L12" s="2759" t="s">
        <v>2858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14"/>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0"/>
      <c r="B13" s="2760" t="s">
        <v>2860</v>
      </c>
      <c r="C13" s="2761" t="s">
        <v>2861</v>
      </c>
      <c r="D13" s="1806" t="s">
        <v>2862</v>
      </c>
      <c r="E13" s="1806" t="s">
        <v>2863</v>
      </c>
      <c r="F13" s="30"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314"/>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20"/>
      <c r="B14" s="2764"/>
      <c r="C14" s="2765" t="s">
        <v>3057</v>
      </c>
      <c r="D14" s="2766" t="s">
        <v>3057</v>
      </c>
      <c r="E14" s="2766" t="s">
        <v>3057</v>
      </c>
      <c r="F14" s="2767" t="s">
        <v>3094</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21"/>
      <c r="B15" s="2772" t="s">
        <v>2867</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9" t="s">
        <v>2872</v>
      </c>
      <c r="B16" s="2741" t="s">
        <v>2873</v>
      </c>
      <c r="C16" s="2928">
        <f>ROUND(IF(F17="与级别开发程度一致",0,(G17-E17)/C17),0)</f>
        <v>0</v>
      </c>
      <c r="D16" s="3310" t="s">
        <v>2877</v>
      </c>
      <c r="E16" s="3311"/>
      <c r="F16" s="3310" t="s">
        <v>2874</v>
      </c>
      <c r="G16" s="3311"/>
      <c r="H16" s="2775" t="s">
        <v>3059</v>
      </c>
      <c r="I16" s="2775" t="s">
        <v>3060</v>
      </c>
      <c r="J16" s="2932" t="s">
        <v>3064</v>
      </c>
      <c r="K16" s="2775" t="s">
        <v>3061</v>
      </c>
      <c r="L16" s="2775" t="s">
        <v>3062</v>
      </c>
      <c r="M16" s="2775" t="s">
        <v>3063</v>
      </c>
      <c r="N16" s="2775"/>
      <c r="O16" s="2776"/>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00"/>
      <c r="B17" s="2939" t="s">
        <v>2876</v>
      </c>
      <c r="C17" s="2940">
        <f>SUMPRODUCT((修正!A2:A5=E2)*(修正!B1:M1=G2)*(修正!B2:M5))</f>
        <v>2.5</v>
      </c>
      <c r="D17" s="229" t="str">
        <f>IF(OR(G2="八级",G2="九级",G2="十级",G2="十一级",G2="十二级"),"五通一平","七通一平")</f>
        <v>七通一平</v>
      </c>
      <c r="E17" s="2929">
        <f>SUMPRODUCT((修正!B1:M1=G2)*(修正!B15:M15))</f>
        <v>300</v>
      </c>
      <c r="F17" s="2930" t="s">
        <v>3095</v>
      </c>
      <c r="G17" s="2931">
        <f>SUM(H17:O17)</f>
        <v>245</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50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2880</v>
      </c>
      <c r="C19" s="923">
        <f>ROUND(IF(H19="按公示增长率计算",SUMPRODUCT((地价!A3:A27=YEAR(G19)&amp;"-"&amp;ROUNDUP(MONTH(G19)/3,0))*(地价!X2:AB2=E2)*(地价!X3:AB27)),IF(H19="地价指数",M20/M19,(1+I19)^O19)),4)</f>
        <v>1.3566</v>
      </c>
      <c r="D19" s="2785" t="s">
        <v>2881</v>
      </c>
      <c r="E19" s="924">
        <v>41640</v>
      </c>
      <c r="F19" s="2785" t="s">
        <v>2882</v>
      </c>
      <c r="G19" s="925">
        <f>'数据-取费表'!B2</f>
        <v>43718</v>
      </c>
      <c r="H19" s="2786" t="s">
        <v>3096</v>
      </c>
      <c r="I19" s="926" t="str">
        <f>IF(H19="季度增幅（自定义）",SUMIF(N21:N24,E2,O21:O24),"")</f>
        <v/>
      </c>
      <c r="J19" s="2783"/>
      <c r="K19" s="1375"/>
      <c r="L19" s="2787" t="s">
        <v>2883</v>
      </c>
      <c r="M19" s="1732">
        <f>ROUND(SUMIF(地价!B2:F2,E2,地价!B27:F27),0)</f>
        <v>258</v>
      </c>
      <c r="N19" s="2788" t="s">
        <v>2884</v>
      </c>
      <c r="O19" s="927">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2885</v>
      </c>
      <c r="C20" s="928">
        <f ca="1">ROUND(POWER(1+G20,J20-I20)*(POWER(1+G20,I20)-1)/(POWER(1+G20,J20)-1),4)</f>
        <v>0.95020000000000004</v>
      </c>
      <c r="D20" s="2794" t="s">
        <v>2886</v>
      </c>
      <c r="E20" s="1766">
        <f ca="1">存贷款利率!D4/100</f>
        <v>4.3499999999999997E-2</v>
      </c>
      <c r="F20" s="2794" t="s">
        <v>2878</v>
      </c>
      <c r="G20" s="933">
        <f ca="1">SUMIF(M26:P26,E2,M28:P28)</f>
        <v>5.1999999999999998E-2</v>
      </c>
      <c r="H20" s="2794" t="s">
        <v>2887</v>
      </c>
      <c r="I20" s="934">
        <f>SUMIF('数据-取费表'!C6:C15,E2,'数据-取费表'!F6:F15)/COUNTIF('数据-取费表'!C6:C15,E2)</f>
        <v>41</v>
      </c>
      <c r="J20" s="935">
        <f>IF(E2="住宅",70,IF(E2="商业",40,50))</f>
        <v>50</v>
      </c>
      <c r="K20" s="1375"/>
      <c r="L20" s="2795" t="s">
        <v>2888</v>
      </c>
      <c r="M20" s="1733">
        <f>ROUND(SUMPRODUCT((地价!A4:A27=YEAR(G19)&amp;"-"&amp;ROUNDUP(MONTH(G19)/3,0))*(地价!B2:F2=E2)*(地价!B4:F27)),0)</f>
        <v>350</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3097</v>
      </c>
      <c r="C21" s="936">
        <f>IF(B21="容积率修正",IF(G3&lt;=10,D22,J22),C23)</f>
        <v>0.8075</v>
      </c>
      <c r="D21" s="2801"/>
      <c r="E21" s="2801"/>
      <c r="F21" s="2801"/>
      <c r="G21" s="2801"/>
      <c r="H21" s="2801"/>
      <c r="I21" s="2801"/>
      <c r="J21" s="2802"/>
      <c r="K21" s="1375"/>
      <c r="N21" s="2803" t="s">
        <v>2892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25">
      <c r="A22" s="2660" t="s">
        <v>2893</v>
      </c>
      <c r="B22" s="2804" t="s">
        <v>2894</v>
      </c>
      <c r="C22" s="1808" t="s">
        <v>2895</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3" t="s">
        <v>2896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0" t="s">
        <v>2897</v>
      </c>
      <c r="B23" s="2805" t="s">
        <v>2898</v>
      </c>
      <c r="C23" s="1012">
        <f>ROUND(IF(G3&gt;1,IF(I3&lt;7,SUMPRODUCT((B93:B98=I3)*(C92:N92=G2)*(C93:N98)),SUMIF(C92:N92,G2,C100:N100)),IF(I3&lt;7,SUMPRODUCT((B102:B107=I3)*(C92:N92=G2)*(C102:N107)),SUMIF(C92:N92,G2,C109:N109))),4)</f>
        <v>0</v>
      </c>
      <c r="D23" s="2769"/>
      <c r="E23" s="2769"/>
      <c r="F23" s="2806"/>
      <c r="G23" s="2807"/>
      <c r="H23" s="2808"/>
      <c r="I23" s="2809"/>
      <c r="J23" s="2810"/>
      <c r="K23" s="1368"/>
      <c r="N23" s="2803" t="s">
        <v>2899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2900</v>
      </c>
      <c r="C24" s="923">
        <f>SUMIF(A45:A88,E2,B45:B88)</f>
        <v>1.0488999999999999</v>
      </c>
      <c r="D24" s="2782"/>
      <c r="E24" s="2811"/>
      <c r="F24" s="2811"/>
      <c r="G24" s="2811"/>
      <c r="H24" s="2811"/>
      <c r="I24" s="2811"/>
      <c r="J24" s="2812"/>
      <c r="K24" s="1375"/>
      <c r="N24" s="2813" t="s">
        <v>2901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2902</v>
      </c>
      <c r="C25" s="929"/>
      <c r="D25" s="2744"/>
      <c r="E25" s="2744"/>
      <c r="F25" s="2815"/>
      <c r="G25" s="2744"/>
      <c r="H25" s="2744"/>
      <c r="I25" s="2744"/>
      <c r="J25" s="2745"/>
      <c r="K25" s="1368"/>
      <c r="N25" s="2816" t="s">
        <v>2903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7"/>
      <c r="B26" s="2804" t="s">
        <v>2904</v>
      </c>
      <c r="C26" s="206">
        <f ca="1">E29+SUM(E33:E39)</f>
        <v>97</v>
      </c>
      <c r="D26" s="2818"/>
      <c r="E26" s="2769"/>
      <c r="F26" s="2819"/>
      <c r="G26" s="2769"/>
      <c r="H26" s="2769"/>
      <c r="I26" s="2769"/>
      <c r="J26" s="2820"/>
      <c r="K26" s="1368"/>
      <c r="L26" s="2773" t="s">
        <v>2804</v>
      </c>
      <c r="M26" s="919" t="s">
        <v>2868</v>
      </c>
      <c r="N26" s="919" t="s">
        <v>2869</v>
      </c>
      <c r="O26" s="919" t="s">
        <v>2870</v>
      </c>
      <c r="P26" s="2774" t="s">
        <v>2871</v>
      </c>
      <c r="R26" s="1374"/>
      <c r="S26" s="1374"/>
      <c r="T26" s="1369"/>
      <c r="U26" s="1369"/>
      <c r="V26" s="1369"/>
      <c r="W26" s="1368"/>
      <c r="X26" s="1368"/>
      <c r="Y26" s="1368"/>
      <c r="Z26" s="1375"/>
      <c r="AA26" s="1376"/>
      <c r="AB26" s="1376"/>
      <c r="AC26" s="1376"/>
      <c r="AD26" s="1376"/>
    </row>
    <row r="27" spans="1:37" ht="15.75" thickBot="1">
      <c r="A27" s="2817"/>
      <c r="B27" s="2821" t="s">
        <v>2905</v>
      </c>
      <c r="C27" s="930">
        <f ca="1">E30+SUM(I33:I39)</f>
        <v>0</v>
      </c>
      <c r="D27" s="2822"/>
      <c r="E27" s="2823"/>
      <c r="F27" s="2824"/>
      <c r="G27" s="2823"/>
      <c r="H27" s="2823"/>
      <c r="I27" s="2823"/>
      <c r="J27" s="2825"/>
      <c r="K27" s="1368"/>
      <c r="L27" s="2777" t="s">
        <v>2875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2906</v>
      </c>
      <c r="C28" s="2828" t="s">
        <v>2907</v>
      </c>
      <c r="D28" s="2828" t="s">
        <v>2908</v>
      </c>
      <c r="E28" s="2829" t="s">
        <v>2909</v>
      </c>
      <c r="F28" s="2830"/>
      <c r="G28" s="2757"/>
      <c r="H28" s="2757"/>
      <c r="I28" s="2757"/>
      <c r="J28" s="2758"/>
      <c r="K28" s="1368"/>
      <c r="L28" s="2778" t="s">
        <v>2878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6">
        <f ca="1">ROUND(C5*C18*C19*C20*C21*C24,0)</f>
        <v>12403</v>
      </c>
      <c r="D29" s="2833">
        <f>'数据-汇总表'!F19</f>
        <v>78.53</v>
      </c>
      <c r="E29" s="941">
        <f ca="1">ROUND(C29*D29/10000,0)</f>
        <v>97</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2912</v>
      </c>
      <c r="C30" s="229">
        <f ca="1">ROUND(IF(E2="工业",C29*M39,C29*M38),0)</f>
        <v>3101</v>
      </c>
      <c r="D30" s="2839"/>
      <c r="E30" s="941">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7" t="s">
        <v>2918</v>
      </c>
      <c r="B33" s="2849" t="s">
        <v>2919</v>
      </c>
      <c r="C33" s="206">
        <f ca="1">ROUND(D5*C19*C20*C24*F33,0)</f>
        <v>10752</v>
      </c>
      <c r="D33" s="2833"/>
      <c r="E33" s="200">
        <f ca="1">ROUND(C33*D33/10000,0)</f>
        <v>0</v>
      </c>
      <c r="F33" s="200">
        <f>SUMIF(修正!A45:A56,G2,修正!B45:B56)</f>
        <v>0.7</v>
      </c>
      <c r="G33" s="200">
        <f t="shared" ref="G33" ca="1" si="6">ROUND(IF(E2="工业",C33*$M$39,C33*$M$38),0)</f>
        <v>2688</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8"/>
      <c r="B34" s="2761" t="s">
        <v>2920</v>
      </c>
      <c r="C34" s="206">
        <f ca="1">ROUND(D5*C19*C20*C24*F34,0)</f>
        <v>6144</v>
      </c>
      <c r="D34" s="2833"/>
      <c r="E34" s="200">
        <f t="shared" ref="E34:E39" ca="1" si="7">ROUND(C34*D34/10000,0)</f>
        <v>0</v>
      </c>
      <c r="F34" s="200">
        <f>SUMIF(修正!A45:A56,G2,修正!C45:C56)</f>
        <v>0.4</v>
      </c>
      <c r="G34" s="200">
        <f ca="1">ROUND(IF(E2="工业",C34*$M$39,C34*$M$38),0)</f>
        <v>1536</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8"/>
      <c r="B35" s="2761" t="s">
        <v>2921</v>
      </c>
      <c r="C35" s="206">
        <f ca="1">ROUND(D5*C19*C20*C24*F35,0)</f>
        <v>4301</v>
      </c>
      <c r="D35" s="2833"/>
      <c r="E35" s="200">
        <f t="shared" ca="1" si="7"/>
        <v>0</v>
      </c>
      <c r="F35" s="200">
        <f>SUMIF(修正!A45:A56,G2,修正!D45:D56)</f>
        <v>0.28000000000000003</v>
      </c>
      <c r="G35" s="200">
        <f ca="1">ROUND(IF(E2="工业",C35*$M$39,C35*$M$38),0)</f>
        <v>1075</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09"/>
      <c r="B36" s="2761" t="s">
        <v>2922</v>
      </c>
      <c r="C36" s="206">
        <f ca="1">ROUND(D5*C19*C20*C24*F36,0)</f>
        <v>3840</v>
      </c>
      <c r="D36" s="2833"/>
      <c r="E36" s="200">
        <f t="shared" ca="1" si="7"/>
        <v>0</v>
      </c>
      <c r="F36" s="200">
        <f>SUMIF(修正!A45:A56,G2,修正!E45:E56)</f>
        <v>0.25</v>
      </c>
      <c r="G36" s="200">
        <f ca="1">ROUND(IF(E2="工业",C36*$M$39,C36*$M$38),0)</f>
        <v>960</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200">
        <f ca="1">ROUND(D5*C19*C20*C24*F37,0)</f>
        <v>3840</v>
      </c>
      <c r="D37" s="2833"/>
      <c r="E37" s="200">
        <f t="shared" ca="1" si="7"/>
        <v>0</v>
      </c>
      <c r="F37" s="206">
        <f>SUMIF(修正!A45:A56,G2,修正!F45:F56)</f>
        <v>0.25</v>
      </c>
      <c r="G37" s="200">
        <f ca="1">ROUND(IF(E2="工业",C37*$M$39,C37*$M$38),0)</f>
        <v>960</v>
      </c>
      <c r="H37" s="200">
        <f t="shared" si="8"/>
        <v>0</v>
      </c>
      <c r="I37" s="200">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5" thickBot="1">
      <c r="A39" s="2837"/>
      <c r="B39" s="2855" t="s">
        <v>2927</v>
      </c>
      <c r="C39" s="229">
        <f ca="1">ROUND(D5*C19*C41*C24*F39,0)</f>
        <v>0</v>
      </c>
      <c r="D39" s="2839"/>
      <c r="E39" s="229">
        <f t="shared" ca="1" si="7"/>
        <v>0</v>
      </c>
      <c r="F39" s="931">
        <f>SUMIF(修正!A45:A56,G2,修正!H45:H56)</f>
        <v>0.2</v>
      </c>
      <c r="G39" s="229">
        <f ca="1">ROUND(IF(E2="工业",C39*$M$39,C39*$M$38),0)</f>
        <v>0</v>
      </c>
      <c r="H39" s="229">
        <f t="shared" si="8"/>
        <v>0</v>
      </c>
      <c r="I39" s="229">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3036</v>
      </c>
      <c r="C41" s="388">
        <f ca="1">ROUND(POWER(1+E41,H41-G41)*(POWER(1+E41,G41)-1)/(POWER(1+E41,H41)-1),4)</f>
        <v>0</v>
      </c>
      <c r="D41" s="200" t="s">
        <v>2878</v>
      </c>
      <c r="E41" s="2925">
        <f ca="1">G20</f>
        <v>5.1999999999999998E-2</v>
      </c>
      <c r="F41" s="200" t="s">
        <v>2887</v>
      </c>
      <c r="G41" s="218"/>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2929</v>
      </c>
      <c r="B46" s="2863">
        <f>1+E48</f>
        <v>1</v>
      </c>
      <c r="C46" s="2864"/>
      <c r="D46" s="813"/>
      <c r="E46" s="814"/>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2930</v>
      </c>
      <c r="B47" s="1807" t="s">
        <v>2931</v>
      </c>
      <c r="C47" s="1807" t="s">
        <v>2932</v>
      </c>
      <c r="D47" s="1807" t="s">
        <v>2933</v>
      </c>
      <c r="E47" s="818" t="s">
        <v>2934</v>
      </c>
      <c r="F47" s="2867" t="s">
        <v>2935</v>
      </c>
      <c r="G47" s="1807" t="s">
        <v>754</v>
      </c>
      <c r="H47" s="2868" t="s">
        <v>2936</v>
      </c>
      <c r="I47" s="1807" t="s">
        <v>2937</v>
      </c>
      <c r="J47" s="603" t="s">
        <v>2587</v>
      </c>
      <c r="K47" s="603" t="s">
        <v>2588</v>
      </c>
      <c r="L47" s="603" t="s">
        <v>2589</v>
      </c>
      <c r="M47" s="603" t="s">
        <v>2590</v>
      </c>
      <c r="N47" s="603" t="s">
        <v>2591</v>
      </c>
      <c r="AA47" s="1369"/>
      <c r="AB47" s="1369"/>
      <c r="AC47" s="1369"/>
      <c r="AD47" s="1369"/>
      <c r="AE47" s="1369"/>
      <c r="AF47" s="1369"/>
      <c r="AG47" s="1369"/>
      <c r="AH47" s="1369"/>
      <c r="AI47" s="1369"/>
      <c r="AJ47" s="1369"/>
      <c r="AK47" s="1369"/>
    </row>
    <row r="48" spans="1:37" s="1368" customFormat="1" ht="24.75">
      <c r="A48" s="2866" t="s">
        <v>2938</v>
      </c>
      <c r="B48" s="2869">
        <f>估价对象房地状况!C4</f>
        <v>0</v>
      </c>
      <c r="C48" s="2766"/>
      <c r="D48" s="1284">
        <f t="shared" ref="D48:D56" si="10">SUMIF($J$47:$N$47,C48,J48:N48)</f>
        <v>0</v>
      </c>
      <c r="E48" s="820">
        <f>ROUND(SUM(D48:D56),4)</f>
        <v>0</v>
      </c>
      <c r="F48" s="2497"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6" t="s">
        <v>2939</v>
      </c>
      <c r="B49"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6"/>
      <c r="D49" s="1284">
        <f t="shared" si="10"/>
        <v>0</v>
      </c>
      <c r="E49" s="821"/>
      <c r="F49" s="2497"/>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2940</v>
      </c>
      <c r="B50" s="2870">
        <f>估价对象房地状况!C19</f>
        <v>0</v>
      </c>
      <c r="C50" s="2766"/>
      <c r="D50" s="1284">
        <f t="shared" si="10"/>
        <v>0</v>
      </c>
      <c r="E50" s="821"/>
      <c r="F50" s="2497"/>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2941</v>
      </c>
      <c r="B51" s="2871" t="s">
        <v>2942</v>
      </c>
      <c r="C51" s="2766"/>
      <c r="D51" s="1284">
        <f t="shared" si="10"/>
        <v>0</v>
      </c>
      <c r="E51" s="821"/>
      <c r="F51" s="2497"/>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2943</v>
      </c>
      <c r="B52" s="2870">
        <f>估价对象房地状况!C24</f>
        <v>0</v>
      </c>
      <c r="C52" s="2766"/>
      <c r="D52" s="1284">
        <f t="shared" si="10"/>
        <v>0</v>
      </c>
      <c r="E52" s="821"/>
      <c r="F52" s="2497"/>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2944</v>
      </c>
      <c r="B53" s="2872" t="s">
        <v>2945</v>
      </c>
      <c r="C53" s="2766"/>
      <c r="D53" s="1284">
        <f t="shared" si="10"/>
        <v>0</v>
      </c>
      <c r="E53" s="821"/>
      <c r="F53" s="2497"/>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3" t="s">
        <v>2946</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6"/>
      <c r="D54" s="1284">
        <f t="shared" si="10"/>
        <v>0</v>
      </c>
      <c r="E54" s="821"/>
      <c r="F54" s="2497"/>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3" t="s">
        <v>2947</v>
      </c>
      <c r="B55" s="2870" t="str">
        <f>估价对象房地状况!C22</f>
        <v>区域基础设施水平为七通</v>
      </c>
      <c r="C55" s="2766"/>
      <c r="D55" s="1284">
        <f t="shared" si="10"/>
        <v>0</v>
      </c>
      <c r="E55" s="821"/>
      <c r="F55" s="2497"/>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4" t="s">
        <v>2948</v>
      </c>
      <c r="B56"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6"/>
      <c r="D56" s="1284">
        <f t="shared" si="10"/>
        <v>0</v>
      </c>
      <c r="E56" s="824"/>
      <c r="F56" s="2497"/>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2949</v>
      </c>
      <c r="B57" s="2863">
        <f>1+E59</f>
        <v>1.0488999999999999</v>
      </c>
      <c r="C57" s="813"/>
      <c r="D57" s="813"/>
      <c r="E57" s="814"/>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2930</v>
      </c>
      <c r="B58" s="1807"/>
      <c r="C58" s="1807" t="s">
        <v>2932</v>
      </c>
      <c r="D58" s="1807" t="s">
        <v>2933</v>
      </c>
      <c r="E58" s="818" t="s">
        <v>2934</v>
      </c>
      <c r="F58" s="2867" t="s">
        <v>2950</v>
      </c>
      <c r="G58" s="1807" t="s">
        <v>754</v>
      </c>
      <c r="H58" s="2868" t="s">
        <v>2936</v>
      </c>
      <c r="I58" s="1807" t="s">
        <v>2937</v>
      </c>
      <c r="J58" s="603" t="s">
        <v>2587</v>
      </c>
      <c r="K58" s="603" t="s">
        <v>2588</v>
      </c>
      <c r="L58" s="603" t="s">
        <v>2589</v>
      </c>
      <c r="M58" s="603" t="s">
        <v>2590</v>
      </c>
      <c r="N58" s="603" t="s">
        <v>2591</v>
      </c>
      <c r="AA58" s="1369"/>
      <c r="AB58" s="1369"/>
      <c r="AC58" s="1369"/>
      <c r="AD58" s="1369"/>
      <c r="AE58" s="1369"/>
      <c r="AF58" s="1369"/>
      <c r="AG58" s="1369"/>
      <c r="AH58" s="1369"/>
      <c r="AI58" s="1369"/>
      <c r="AJ58" s="1369"/>
      <c r="AK58" s="1369"/>
    </row>
    <row r="59" spans="1:37" s="1368" customFormat="1" ht="76.5">
      <c r="A59" s="2866" t="s">
        <v>2951</v>
      </c>
      <c r="B59" s="2869" t="str">
        <f>估价对象房地状况!C17</f>
        <v>估价对象位于中关村软件园丰台科技园区，周边办公楼项目较多，如：诺德中心二期、三期、华夏幸福中心等，入驻率高，办公集聚程度较好</v>
      </c>
      <c r="C59" s="2766" t="s">
        <v>3098</v>
      </c>
      <c r="D59" s="1284">
        <f t="shared" ref="D59:D67" si="15">SUMIF($J$58:$N$58,C59,J59:N59)</f>
        <v>1.18E-2</v>
      </c>
      <c r="E59" s="820">
        <f>ROUND(SUM(D59:D67),4)</f>
        <v>4.8899999999999999E-2</v>
      </c>
      <c r="F59" s="2497">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6" t="s">
        <v>2939</v>
      </c>
      <c r="B60"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6" t="s">
        <v>3098</v>
      </c>
      <c r="D60" s="1284">
        <f t="shared" si="15"/>
        <v>1.4800000000000001E-2</v>
      </c>
      <c r="E60" s="821"/>
      <c r="F60" s="2497"/>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6" t="s">
        <v>2940</v>
      </c>
      <c r="B61" s="2870">
        <f>估价对象房地状况!C19</f>
        <v>0</v>
      </c>
      <c r="C61" s="2766" t="s">
        <v>3098</v>
      </c>
      <c r="D61" s="1284">
        <f t="shared" si="15"/>
        <v>3.8999999999999998E-3</v>
      </c>
      <c r="E61" s="821"/>
      <c r="F61" s="2497"/>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6" t="s">
        <v>2941</v>
      </c>
      <c r="B62" s="2871" t="s">
        <v>2942</v>
      </c>
      <c r="C62" s="2766" t="s">
        <v>3098</v>
      </c>
      <c r="D62" s="1284">
        <f t="shared" si="15"/>
        <v>1.9E-3</v>
      </c>
      <c r="E62" s="821"/>
      <c r="F62" s="2497"/>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6" t="s">
        <v>2943</v>
      </c>
      <c r="B63" s="2870">
        <f>估价对象房地状况!C24</f>
        <v>0</v>
      </c>
      <c r="C63" s="2766" t="s">
        <v>3098</v>
      </c>
      <c r="D63" s="1284">
        <f t="shared" si="15"/>
        <v>2.3999999999999998E-3</v>
      </c>
      <c r="E63" s="821"/>
      <c r="F63" s="2497"/>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6" t="s">
        <v>2944</v>
      </c>
      <c r="B64" s="2872" t="s">
        <v>2945</v>
      </c>
      <c r="C64" s="2766" t="s">
        <v>3098</v>
      </c>
      <c r="D64" s="1284">
        <f t="shared" si="15"/>
        <v>2.3999999999999998E-3</v>
      </c>
      <c r="E64" s="821"/>
      <c r="F64" s="2497"/>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6" t="s">
        <v>2946</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6" t="s">
        <v>3098</v>
      </c>
      <c r="D65" s="1284">
        <f t="shared" si="15"/>
        <v>2.8999999999999998E-3</v>
      </c>
      <c r="E65" s="821"/>
      <c r="F65" s="2497"/>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6" t="s">
        <v>2947</v>
      </c>
      <c r="B66" s="1723" t="str">
        <f>估价对象房地状况!C22</f>
        <v>区域基础设施水平为七通</v>
      </c>
      <c r="C66" s="2766" t="s">
        <v>3098</v>
      </c>
      <c r="D66" s="1284">
        <f t="shared" si="15"/>
        <v>5.8999999999999999E-3</v>
      </c>
      <c r="E66" s="821"/>
      <c r="F66" s="2497"/>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4" t="s">
        <v>2948</v>
      </c>
      <c r="B67" s="2876"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6" t="s">
        <v>3098</v>
      </c>
      <c r="D67" s="1284">
        <f t="shared" si="15"/>
        <v>2.8999999999999998E-3</v>
      </c>
      <c r="E67" s="824"/>
      <c r="F67" s="2497"/>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2" t="s">
        <v>2952</v>
      </c>
      <c r="B68" s="2863">
        <f>1+E70</f>
        <v>1</v>
      </c>
      <c r="C68" s="813"/>
      <c r="D68" s="813"/>
      <c r="E68" s="814"/>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2930</v>
      </c>
      <c r="B69" s="1807"/>
      <c r="C69" s="1807" t="s">
        <v>2932</v>
      </c>
      <c r="D69" s="1807" t="s">
        <v>2933</v>
      </c>
      <c r="E69" s="818" t="s">
        <v>2934</v>
      </c>
      <c r="F69" s="2867" t="s">
        <v>2950</v>
      </c>
      <c r="G69" s="1807" t="s">
        <v>754</v>
      </c>
      <c r="H69" s="2868" t="s">
        <v>2936</v>
      </c>
      <c r="I69" s="1807" t="s">
        <v>2937</v>
      </c>
      <c r="J69" s="603" t="s">
        <v>2587</v>
      </c>
      <c r="K69" s="603" t="s">
        <v>2588</v>
      </c>
      <c r="L69" s="603" t="s">
        <v>2589</v>
      </c>
      <c r="M69" s="603" t="s">
        <v>2590</v>
      </c>
      <c r="N69" s="603" t="s">
        <v>2591</v>
      </c>
      <c r="AA69" s="1369"/>
      <c r="AB69" s="1369"/>
      <c r="AC69" s="1369"/>
      <c r="AD69" s="1369"/>
      <c r="AE69" s="1369"/>
      <c r="AF69" s="1369"/>
      <c r="AG69" s="1369"/>
      <c r="AH69" s="1369"/>
      <c r="AI69" s="1369"/>
      <c r="AJ69" s="1369"/>
      <c r="AK69" s="1369"/>
    </row>
    <row r="70" spans="1:37" s="1368" customFormat="1" ht="24">
      <c r="A70" s="2866" t="s">
        <v>2953</v>
      </c>
      <c r="B70" s="2869">
        <f>估价对象房地状况!C15</f>
        <v>0</v>
      </c>
      <c r="C70" s="2766"/>
      <c r="D70" s="1284">
        <f t="shared" ref="D70:D78" si="21">SUMIF($J$69:$N$69,C70,J70:N70)</f>
        <v>0</v>
      </c>
      <c r="E70" s="820">
        <f>ROUND(SUM(D70:D78),4)</f>
        <v>0</v>
      </c>
      <c r="F70" s="2497"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6" t="s">
        <v>2939</v>
      </c>
      <c r="B71"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6"/>
      <c r="D71" s="1284">
        <f t="shared" si="21"/>
        <v>0</v>
      </c>
      <c r="E71" s="825"/>
      <c r="F71" s="2497"/>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c r="D72" s="1284">
        <f t="shared" si="21"/>
        <v>0</v>
      </c>
      <c r="E72" s="825"/>
      <c r="F72" s="2497"/>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6" t="s">
        <v>2954</v>
      </c>
      <c r="B73" s="2870">
        <f>估价对象房地状况!C24</f>
        <v>0</v>
      </c>
      <c r="C73" s="2766"/>
      <c r="D73" s="1284">
        <f t="shared" si="21"/>
        <v>0</v>
      </c>
      <c r="E73" s="825"/>
      <c r="F73" s="2497"/>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6" t="s">
        <v>2946</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6"/>
      <c r="D74" s="1284">
        <f t="shared" si="21"/>
        <v>0</v>
      </c>
      <c r="E74" s="825"/>
      <c r="F74" s="2497"/>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6" t="s">
        <v>2947</v>
      </c>
      <c r="B75" s="1723" t="str">
        <f>估价对象房地状况!C22</f>
        <v>区域基础设施水平为七通</v>
      </c>
      <c r="C75" s="2766"/>
      <c r="D75" s="1284">
        <f t="shared" si="21"/>
        <v>0</v>
      </c>
      <c r="E75" s="825"/>
      <c r="F75" s="2497"/>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5" customFormat="1" ht="24">
      <c r="A76" s="2866" t="s">
        <v>2944</v>
      </c>
      <c r="B76" s="2872" t="s">
        <v>2945</v>
      </c>
      <c r="C76" s="2766"/>
      <c r="D76" s="1284">
        <f t="shared" si="21"/>
        <v>0</v>
      </c>
      <c r="E76" s="825"/>
      <c r="F76" s="2497"/>
      <c r="G76" s="1282"/>
      <c r="H76" s="1286" t="str">
        <f t="shared" si="22"/>
        <v>——</v>
      </c>
      <c r="I76" s="819">
        <v>0.05</v>
      </c>
      <c r="J76" s="1283">
        <f t="shared" si="23"/>
        <v>0</v>
      </c>
      <c r="K76" s="1283">
        <f t="shared" si="24"/>
        <v>0</v>
      </c>
      <c r="L76" s="1283">
        <v>0</v>
      </c>
      <c r="M76" s="1283">
        <f t="shared" si="25"/>
        <v>0</v>
      </c>
      <c r="N76" s="1283">
        <f t="shared" si="25"/>
        <v>0</v>
      </c>
      <c r="AA76" s="2877"/>
      <c r="AB76" s="1369"/>
      <c r="AC76" s="1369"/>
      <c r="AD76" s="1369"/>
      <c r="AE76" s="1369"/>
      <c r="AF76" s="1369"/>
      <c r="AG76" s="1369"/>
      <c r="AH76" s="2877"/>
      <c r="AI76" s="2877"/>
      <c r="AJ76" s="2877"/>
      <c r="AK76" s="2877"/>
    </row>
    <row r="77" spans="1:37" ht="114.75">
      <c r="A77" s="2866" t="s">
        <v>2948</v>
      </c>
      <c r="B77" s="286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6"/>
      <c r="D77" s="1284">
        <f t="shared" si="21"/>
        <v>0</v>
      </c>
      <c r="E77" s="825"/>
      <c r="F77" s="2497"/>
      <c r="G77" s="1282"/>
      <c r="H77" s="1286" t="str">
        <f t="shared" si="22"/>
        <v>——</v>
      </c>
      <c r="I77" s="819">
        <v>0.15</v>
      </c>
      <c r="J77" s="1283">
        <f t="shared" si="23"/>
        <v>0</v>
      </c>
      <c r="K77" s="1283">
        <f t="shared" si="24"/>
        <v>0</v>
      </c>
      <c r="L77" s="1283">
        <v>0</v>
      </c>
      <c r="M77" s="1283">
        <f t="shared" si="25"/>
        <v>0</v>
      </c>
      <c r="N77" s="1283">
        <f t="shared" si="25"/>
        <v>0</v>
      </c>
      <c r="Z77" s="2716"/>
      <c r="AA77" s="2784"/>
      <c r="AG77" s="1370"/>
      <c r="AK77" s="2784"/>
    </row>
    <row r="78" spans="1:37" ht="24.75" thickBot="1">
      <c r="A78" s="2874" t="s">
        <v>2955</v>
      </c>
      <c r="B78" s="2878"/>
      <c r="C78" s="2766"/>
      <c r="D78" s="1284">
        <f t="shared" si="21"/>
        <v>0</v>
      </c>
      <c r="E78" s="826"/>
      <c r="F78" s="2497"/>
      <c r="G78" s="1282"/>
      <c r="H78" s="1286" t="str">
        <f t="shared" si="22"/>
        <v>——</v>
      </c>
      <c r="I78" s="823">
        <v>0.04</v>
      </c>
      <c r="J78" s="1283">
        <f t="shared" si="23"/>
        <v>0</v>
      </c>
      <c r="K78" s="1283">
        <f t="shared" si="24"/>
        <v>0</v>
      </c>
      <c r="L78" s="1283">
        <v>0</v>
      </c>
      <c r="M78" s="1283">
        <f t="shared" si="25"/>
        <v>0</v>
      </c>
      <c r="N78" s="1283">
        <f t="shared" si="25"/>
        <v>0</v>
      </c>
      <c r="Z78" s="2716"/>
      <c r="AA78" s="2784"/>
      <c r="AG78" s="1370"/>
      <c r="AK78" s="2784"/>
    </row>
    <row r="79" spans="1:37" ht="15">
      <c r="A79" s="2862" t="s">
        <v>2956</v>
      </c>
      <c r="B79" s="2863">
        <f>1+E81</f>
        <v>1</v>
      </c>
      <c r="C79" s="813"/>
      <c r="D79" s="813"/>
      <c r="E79" s="814"/>
      <c r="F79" s="2865"/>
      <c r="G79" s="6"/>
      <c r="H79" s="6"/>
      <c r="I79" s="6"/>
      <c r="J79" s="7"/>
      <c r="K79" s="7"/>
      <c r="L79" s="7"/>
      <c r="M79" s="7"/>
      <c r="N79" s="7"/>
      <c r="Z79" s="2716"/>
      <c r="AA79" s="2784"/>
      <c r="AG79" s="1370"/>
      <c r="AK79" s="2784"/>
    </row>
    <row r="80" spans="1:37" ht="24.75">
      <c r="A80" s="2866" t="s">
        <v>2930</v>
      </c>
      <c r="B80" s="1807"/>
      <c r="C80" s="1807" t="s">
        <v>2932</v>
      </c>
      <c r="D80" s="1807" t="s">
        <v>2933</v>
      </c>
      <c r="E80" s="818" t="s">
        <v>2934</v>
      </c>
      <c r="F80" s="2867" t="s">
        <v>2950</v>
      </c>
      <c r="G80" s="1807" t="s">
        <v>754</v>
      </c>
      <c r="H80" s="2868" t="s">
        <v>2936</v>
      </c>
      <c r="I80" s="1807" t="s">
        <v>2937</v>
      </c>
      <c r="J80" s="603" t="s">
        <v>2587</v>
      </c>
      <c r="K80" s="603" t="s">
        <v>2588</v>
      </c>
      <c r="L80" s="603" t="s">
        <v>2589</v>
      </c>
      <c r="M80" s="603" t="s">
        <v>2590</v>
      </c>
      <c r="N80" s="603" t="s">
        <v>2591</v>
      </c>
      <c r="Z80" s="2716"/>
      <c r="AA80" s="2784"/>
      <c r="AG80" s="1370"/>
      <c r="AK80" s="2784"/>
    </row>
    <row r="81" spans="1:37" ht="38.25">
      <c r="A81" s="2866" t="s">
        <v>2957</v>
      </c>
      <c r="B81" s="2870" t="str">
        <f>估价对象房地状况!G15</f>
        <v>估价对象位于XX开发区，园区建设成熟度XX，产业集聚程度XX</v>
      </c>
      <c r="C81" s="2766"/>
      <c r="D81" s="1284">
        <f t="shared" ref="D81:D88" si="26">SUMIF($J$80:$N$80,C81,J81:N81)</f>
        <v>0</v>
      </c>
      <c r="E81" s="820">
        <f>ROUND(SUM(D81:D88),4)</f>
        <v>0</v>
      </c>
      <c r="F81" s="2497"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c r="A82" s="2866" t="s">
        <v>2939</v>
      </c>
      <c r="B82" s="2870" t="str">
        <f>估价对象房地状况!G16</f>
        <v>估价对象周边道路状况、公共交通通达情况、停车便捷程度，综合评价交通便捷度较好</v>
      </c>
      <c r="C82" s="2766"/>
      <c r="D82" s="1284">
        <f t="shared" si="26"/>
        <v>0</v>
      </c>
      <c r="E82" s="825"/>
      <c r="F82" s="2497"/>
      <c r="G82" s="1282"/>
      <c r="H82" s="1286" t="str">
        <f t="shared" si="27"/>
        <v>——</v>
      </c>
      <c r="I82" s="819">
        <v>0.33</v>
      </c>
      <c r="J82" s="1283">
        <f t="shared" si="28"/>
        <v>0</v>
      </c>
      <c r="K82" s="1283">
        <f t="shared" si="29"/>
        <v>0</v>
      </c>
      <c r="L82" s="1283">
        <v>0</v>
      </c>
      <c r="M82" s="1283">
        <f t="shared" si="30"/>
        <v>0</v>
      </c>
      <c r="N82" s="1283">
        <f t="shared" si="30"/>
        <v>0</v>
      </c>
      <c r="Z82" s="2716"/>
      <c r="AA82" s="2784"/>
      <c r="AG82" s="1370"/>
      <c r="AK82" s="2784"/>
    </row>
    <row r="83" spans="1:37" ht="24">
      <c r="A83" s="2866" t="s">
        <v>2940</v>
      </c>
      <c r="B83" s="2870">
        <f>估价对象房地状况!G17</f>
        <v>0</v>
      </c>
      <c r="C83" s="2766"/>
      <c r="D83" s="1284">
        <f t="shared" si="26"/>
        <v>0</v>
      </c>
      <c r="E83" s="825"/>
      <c r="F83" s="2497"/>
      <c r="G83" s="1282"/>
      <c r="H83" s="1286" t="str">
        <f t="shared" si="27"/>
        <v>——</v>
      </c>
      <c r="I83" s="819">
        <v>0.05</v>
      </c>
      <c r="J83" s="1283">
        <f t="shared" si="28"/>
        <v>0</v>
      </c>
      <c r="K83" s="1283">
        <f t="shared" si="29"/>
        <v>0</v>
      </c>
      <c r="L83" s="1283">
        <v>0</v>
      </c>
      <c r="M83" s="1283">
        <f t="shared" si="30"/>
        <v>0</v>
      </c>
      <c r="N83" s="1283">
        <f t="shared" si="30"/>
        <v>0</v>
      </c>
      <c r="Z83" s="2716"/>
      <c r="AA83" s="2784"/>
      <c r="AG83" s="1370"/>
      <c r="AK83" s="2784"/>
    </row>
    <row r="84" spans="1:37" ht="14.25">
      <c r="A84" s="2866" t="s">
        <v>2954</v>
      </c>
      <c r="B84" s="2870">
        <f>估价对象房地状况!G22</f>
        <v>0</v>
      </c>
      <c r="C84" s="2766"/>
      <c r="D84" s="1284">
        <f t="shared" si="26"/>
        <v>0</v>
      </c>
      <c r="E84" s="825"/>
      <c r="F84" s="2497"/>
      <c r="G84" s="1282"/>
      <c r="H84" s="1286" t="str">
        <f t="shared" si="27"/>
        <v>——</v>
      </c>
      <c r="I84" s="819">
        <v>0.04</v>
      </c>
      <c r="J84" s="1283">
        <f t="shared" si="28"/>
        <v>0</v>
      </c>
      <c r="K84" s="1283">
        <f t="shared" si="29"/>
        <v>0</v>
      </c>
      <c r="L84" s="1283">
        <v>0</v>
      </c>
      <c r="M84" s="1283">
        <f t="shared" si="30"/>
        <v>0</v>
      </c>
      <c r="N84" s="1283">
        <f t="shared" si="30"/>
        <v>0</v>
      </c>
      <c r="Z84" s="2716"/>
      <c r="AA84" s="2784"/>
      <c r="AG84" s="1370"/>
      <c r="AK84" s="2784"/>
    </row>
    <row r="85" spans="1:37" ht="25.5">
      <c r="A85" s="2866" t="s">
        <v>2946</v>
      </c>
      <c r="B85" s="1723" t="str">
        <f>估价对象房地状况!G19</f>
        <v>估价对象所在区域公共配套设施齐备情况</v>
      </c>
      <c r="C85" s="2766"/>
      <c r="D85" s="1284">
        <f t="shared" si="26"/>
        <v>0</v>
      </c>
      <c r="E85" s="825"/>
      <c r="F85" s="2497"/>
      <c r="G85" s="1282"/>
      <c r="H85" s="1286" t="str">
        <f t="shared" si="27"/>
        <v>——</v>
      </c>
      <c r="I85" s="819">
        <v>0.06</v>
      </c>
      <c r="J85" s="1283">
        <f t="shared" si="28"/>
        <v>0</v>
      </c>
      <c r="K85" s="1283">
        <f t="shared" si="29"/>
        <v>0</v>
      </c>
      <c r="L85" s="1283">
        <v>0</v>
      </c>
      <c r="M85" s="1283">
        <f t="shared" si="30"/>
        <v>0</v>
      </c>
      <c r="N85" s="1283">
        <f t="shared" si="30"/>
        <v>0</v>
      </c>
      <c r="Z85" s="2716"/>
      <c r="AA85" s="2784"/>
      <c r="AG85" s="1370"/>
      <c r="AK85" s="2784"/>
    </row>
    <row r="86" spans="1:37" ht="25.5">
      <c r="A86" s="2866" t="s">
        <v>2947</v>
      </c>
      <c r="B86" s="1723" t="str">
        <f>估价对象房地状况!G20</f>
        <v>估价对象所在区域基础设施水平</v>
      </c>
      <c r="C86" s="2766"/>
      <c r="D86" s="1284">
        <f t="shared" si="26"/>
        <v>0</v>
      </c>
      <c r="E86" s="825"/>
      <c r="F86" s="2497"/>
      <c r="G86" s="1282"/>
      <c r="H86" s="1286" t="str">
        <f t="shared" si="27"/>
        <v>——</v>
      </c>
      <c r="I86" s="819">
        <v>0.15</v>
      </c>
      <c r="J86" s="1283">
        <f t="shared" si="28"/>
        <v>0</v>
      </c>
      <c r="K86" s="1283">
        <f t="shared" si="29"/>
        <v>0</v>
      </c>
      <c r="L86" s="1283">
        <v>0</v>
      </c>
      <c r="M86" s="1283">
        <f t="shared" si="30"/>
        <v>0</v>
      </c>
      <c r="N86" s="1283">
        <f t="shared" si="30"/>
        <v>0</v>
      </c>
      <c r="Z86" s="2716"/>
      <c r="AA86" s="2784"/>
      <c r="AG86" s="1370"/>
      <c r="AK86" s="2784"/>
    </row>
    <row r="87" spans="1:37" ht="24">
      <c r="A87" s="2866" t="s">
        <v>2944</v>
      </c>
      <c r="B87" s="2872" t="s">
        <v>2958</v>
      </c>
      <c r="C87" s="2766"/>
      <c r="D87" s="1284">
        <f t="shared" si="26"/>
        <v>0</v>
      </c>
      <c r="E87" s="825"/>
      <c r="F87" s="2497"/>
      <c r="G87" s="1282"/>
      <c r="H87" s="1286" t="str">
        <f t="shared" si="27"/>
        <v>——</v>
      </c>
      <c r="I87" s="819">
        <v>0.05</v>
      </c>
      <c r="J87" s="1283">
        <f t="shared" si="28"/>
        <v>0</v>
      </c>
      <c r="K87" s="1283">
        <f t="shared" si="29"/>
        <v>0</v>
      </c>
      <c r="L87" s="1283">
        <v>0</v>
      </c>
      <c r="M87" s="1283">
        <f t="shared" si="30"/>
        <v>0</v>
      </c>
      <c r="N87" s="1283">
        <f t="shared" si="30"/>
        <v>0</v>
      </c>
      <c r="Z87" s="2716"/>
      <c r="AA87" s="2784"/>
      <c r="AG87" s="1370"/>
      <c r="AK87" s="2784"/>
    </row>
    <row r="88" spans="1:37" ht="39" thickBot="1">
      <c r="A88" s="2874" t="s">
        <v>2959</v>
      </c>
      <c r="B88" s="2879" t="str">
        <f>估价对象房地状况!G18</f>
        <v>该园区内是否有污染型企业，绿化情况，卫生条件，整体环境状况判断</v>
      </c>
      <c r="C88" s="2766"/>
      <c r="D88" s="1284">
        <f t="shared" si="26"/>
        <v>0</v>
      </c>
      <c r="E88" s="826"/>
      <c r="F88" s="2497"/>
      <c r="G88" s="1282"/>
      <c r="H88" s="1286" t="str">
        <f t="shared" si="27"/>
        <v>——</v>
      </c>
      <c r="I88" s="823">
        <v>0.06</v>
      </c>
      <c r="J88" s="1283">
        <f t="shared" si="28"/>
        <v>0</v>
      </c>
      <c r="K88" s="1283">
        <f t="shared" si="29"/>
        <v>0</v>
      </c>
      <c r="L88" s="1283">
        <v>0</v>
      </c>
      <c r="M88" s="1283">
        <f t="shared" si="30"/>
        <v>0</v>
      </c>
      <c r="N88" s="1283">
        <f t="shared" si="30"/>
        <v>0</v>
      </c>
      <c r="Z88" s="2716"/>
      <c r="AA88" s="2784"/>
      <c r="AG88" s="1370"/>
      <c r="AK88" s="2784"/>
    </row>
    <row r="90" spans="1:37">
      <c r="A90" s="3301" t="s">
        <v>2960</v>
      </c>
      <c r="B90" s="3301"/>
      <c r="C90" s="3301"/>
      <c r="D90" s="3301"/>
      <c r="E90" s="3301"/>
      <c r="F90" s="3301"/>
      <c r="G90" s="3301"/>
      <c r="H90" s="3301"/>
      <c r="I90" s="3301"/>
      <c r="J90" s="3301"/>
      <c r="K90" s="2880"/>
      <c r="L90" s="2880"/>
      <c r="M90" s="2880"/>
      <c r="N90" s="2880"/>
    </row>
    <row r="91" spans="1:37">
      <c r="A91" s="3303" t="s">
        <v>2961</v>
      </c>
      <c r="B91" s="3303" t="s">
        <v>2962</v>
      </c>
      <c r="C91" s="2834" t="s">
        <v>2963</v>
      </c>
      <c r="D91" s="2835"/>
      <c r="E91" s="2835"/>
      <c r="F91" s="2835"/>
      <c r="G91" s="2835"/>
      <c r="H91" s="2835"/>
      <c r="I91" s="2835"/>
      <c r="J91" s="2881"/>
      <c r="K91" s="2882"/>
      <c r="L91" s="2882"/>
      <c r="M91" s="2882"/>
      <c r="N91" s="2882"/>
    </row>
    <row r="92" spans="1:37">
      <c r="A92" s="3303"/>
      <c r="B92" s="3303"/>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304"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5"/>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5"/>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5"/>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5"/>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5"/>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5"/>
      <c r="B99" s="2883" t="s">
        <v>2846</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306"/>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4" t="s">
        <v>2965</v>
      </c>
      <c r="B101" s="2887" t="s">
        <v>2966</v>
      </c>
      <c r="C101" s="2888">
        <f>$G$3</f>
        <v>5.4</v>
      </c>
      <c r="D101" s="2888">
        <f t="shared" ref="D101:N101" si="32">$G$3</f>
        <v>5.4</v>
      </c>
      <c r="E101" s="2888">
        <f t="shared" si="32"/>
        <v>5.4</v>
      </c>
      <c r="F101" s="2888">
        <f t="shared" si="32"/>
        <v>5.4</v>
      </c>
      <c r="G101" s="2888">
        <f t="shared" si="32"/>
        <v>5.4</v>
      </c>
      <c r="H101" s="2888">
        <f t="shared" si="32"/>
        <v>5.4</v>
      </c>
      <c r="I101" s="2888">
        <f t="shared" si="32"/>
        <v>5.4</v>
      </c>
      <c r="J101" s="2888">
        <f t="shared" si="32"/>
        <v>5.4</v>
      </c>
      <c r="K101" s="2888">
        <f t="shared" si="32"/>
        <v>5.4</v>
      </c>
      <c r="L101" s="2888">
        <f t="shared" si="32"/>
        <v>5.4</v>
      </c>
      <c r="M101" s="2888">
        <f t="shared" si="32"/>
        <v>5.4</v>
      </c>
      <c r="N101" s="2888">
        <f t="shared" si="32"/>
        <v>5.4</v>
      </c>
    </row>
    <row r="102" spans="1:14">
      <c r="A102" s="3305"/>
      <c r="B102" s="2883">
        <v>1</v>
      </c>
      <c r="C102" s="2884">
        <f>1.9362/C101</f>
        <v>0.35855555555555552</v>
      </c>
      <c r="D102" s="2884">
        <f>1.9362/D101</f>
        <v>0.35855555555555552</v>
      </c>
      <c r="E102" s="2884">
        <f>1.8629/E101</f>
        <v>0.34498148148148144</v>
      </c>
      <c r="F102" s="2884">
        <f>1.8629/F101</f>
        <v>0.34498148148148144</v>
      </c>
      <c r="G102" s="2884">
        <f>1.8629/G101</f>
        <v>0.34498148148148144</v>
      </c>
      <c r="H102" s="2884">
        <f>1.8629/H101</f>
        <v>0.34498148148148144</v>
      </c>
      <c r="I102" s="2884">
        <f>1.8629/I101</f>
        <v>0.34498148148148144</v>
      </c>
      <c r="J102" s="2884">
        <f>1.942/J101</f>
        <v>0.35962962962962958</v>
      </c>
      <c r="K102" s="2884">
        <f>1.942/K101</f>
        <v>0.35962962962962958</v>
      </c>
      <c r="L102" s="2884">
        <f>1.942/L101</f>
        <v>0.35962962962962958</v>
      </c>
      <c r="M102" s="2884">
        <f>1.942/M101</f>
        <v>0.35962962962962958</v>
      </c>
      <c r="N102" s="2884">
        <f>1.942/N101</f>
        <v>0.35962962962962958</v>
      </c>
    </row>
    <row r="103" spans="1:14">
      <c r="A103" s="3305"/>
      <c r="B103" s="2883">
        <v>2</v>
      </c>
      <c r="C103" s="2884">
        <f>1.4198/C101</f>
        <v>0.2629259259259259</v>
      </c>
      <c r="D103" s="2884">
        <f>1.4198/D101</f>
        <v>0.2629259259259259</v>
      </c>
      <c r="E103" s="2884">
        <f>1.3372/E101</f>
        <v>0.24762962962962962</v>
      </c>
      <c r="F103" s="2884">
        <f>1.3372/F101</f>
        <v>0.24762962962962962</v>
      </c>
      <c r="G103" s="2884">
        <f>1.3372/G101</f>
        <v>0.24762962962962962</v>
      </c>
      <c r="H103" s="2884">
        <f>1.3372/H101</f>
        <v>0.24762962962962962</v>
      </c>
      <c r="I103" s="2884">
        <f>1.3372/I101</f>
        <v>0.24762962962962962</v>
      </c>
      <c r="J103" s="2884">
        <f>1.2799/J101</f>
        <v>0.23701851851851852</v>
      </c>
      <c r="K103" s="2884">
        <f>1.2799/K101</f>
        <v>0.23701851851851852</v>
      </c>
      <c r="L103" s="2884">
        <f>1.2799/L101</f>
        <v>0.23701851851851852</v>
      </c>
      <c r="M103" s="2884">
        <f>1.2799/M101</f>
        <v>0.23701851851851852</v>
      </c>
      <c r="N103" s="2884">
        <f>1.2799/N101</f>
        <v>0.23701851851851852</v>
      </c>
    </row>
    <row r="104" spans="1:14">
      <c r="A104" s="3305"/>
      <c r="B104" s="2883">
        <v>3</v>
      </c>
      <c r="C104" s="2884">
        <f>1.1594/C101</f>
        <v>0.21470370370370367</v>
      </c>
      <c r="D104" s="2884">
        <f>1.1594/D101</f>
        <v>0.21470370370370367</v>
      </c>
      <c r="E104" s="2884">
        <f>1.0788/E101</f>
        <v>0.19977777777777775</v>
      </c>
      <c r="F104" s="2884">
        <f>1.0788/F101</f>
        <v>0.19977777777777775</v>
      </c>
      <c r="G104" s="2884">
        <f>1.0788/G101</f>
        <v>0.19977777777777775</v>
      </c>
      <c r="H104" s="2884">
        <f>1.0788/H101</f>
        <v>0.19977777777777775</v>
      </c>
      <c r="I104" s="2884">
        <f>1.0788/I101</f>
        <v>0.19977777777777775</v>
      </c>
      <c r="J104" s="2884">
        <f>1.0072/J101</f>
        <v>0.18651851851851853</v>
      </c>
      <c r="K104" s="2884">
        <f>1.0072/K101</f>
        <v>0.18651851851851853</v>
      </c>
      <c r="L104" s="2884">
        <f>1.0072/L101</f>
        <v>0.18651851851851853</v>
      </c>
      <c r="M104" s="2884">
        <f>1.0072/M101</f>
        <v>0.18651851851851853</v>
      </c>
      <c r="N104" s="2884">
        <f>1.0072/N101</f>
        <v>0.18651851851851853</v>
      </c>
    </row>
    <row r="105" spans="1:14">
      <c r="A105" s="3305"/>
      <c r="B105" s="2883">
        <v>4</v>
      </c>
      <c r="C105" s="2884">
        <f>0.9622/C101</f>
        <v>0.1781851851851852</v>
      </c>
      <c r="D105" s="2884">
        <f>0.9622/D101</f>
        <v>0.1781851851851852</v>
      </c>
      <c r="E105" s="2884">
        <f>0.8656/E101</f>
        <v>0.1602962962962963</v>
      </c>
      <c r="F105" s="2884">
        <f>0.8656/F101</f>
        <v>0.1602962962962963</v>
      </c>
      <c r="G105" s="2884">
        <f>0.8656/G101</f>
        <v>0.1602962962962963</v>
      </c>
      <c r="H105" s="2884">
        <f>0.8656/H101</f>
        <v>0.1602962962962963</v>
      </c>
      <c r="I105" s="2884">
        <f>0.8656/I101</f>
        <v>0.1602962962962963</v>
      </c>
      <c r="J105" s="2884">
        <f>0.7525/J101</f>
        <v>0.13935185185185184</v>
      </c>
      <c r="K105" s="2884">
        <f>0.7525/K101</f>
        <v>0.13935185185185184</v>
      </c>
      <c r="L105" s="2884">
        <f>0.7525/L101</f>
        <v>0.13935185185185184</v>
      </c>
      <c r="M105" s="2884">
        <f>0.7525/M101</f>
        <v>0.13935185185185184</v>
      </c>
      <c r="N105" s="2884">
        <f>0.7525/N101</f>
        <v>0.13935185185185184</v>
      </c>
    </row>
    <row r="106" spans="1:14">
      <c r="A106" s="3305"/>
      <c r="B106" s="2883">
        <v>5</v>
      </c>
      <c r="C106" s="2884">
        <f>0.8417/C101</f>
        <v>0.15587037037037035</v>
      </c>
      <c r="D106" s="2884">
        <f>0.8417/D101</f>
        <v>0.15587037037037035</v>
      </c>
      <c r="E106" s="2884">
        <f>0.7371/E101</f>
        <v>0.13649999999999998</v>
      </c>
      <c r="F106" s="2884">
        <f>0.7371/F101</f>
        <v>0.13649999999999998</v>
      </c>
      <c r="G106" s="2884">
        <f>0.7371/G101</f>
        <v>0.13649999999999998</v>
      </c>
      <c r="H106" s="2884">
        <f>0.7371/H101</f>
        <v>0.13649999999999998</v>
      </c>
      <c r="I106" s="2884">
        <f>0.7371/I101</f>
        <v>0.13649999999999998</v>
      </c>
      <c r="J106" s="2884">
        <f>0.5659/J101</f>
        <v>0.10479629629629628</v>
      </c>
      <c r="K106" s="2884">
        <f>0.5659/K101</f>
        <v>0.10479629629629628</v>
      </c>
      <c r="L106" s="2884">
        <f>0.5659/L101</f>
        <v>0.10479629629629628</v>
      </c>
      <c r="M106" s="2884">
        <f>0.5659/M101</f>
        <v>0.10479629629629628</v>
      </c>
      <c r="N106" s="2884">
        <f>0.5659/N101</f>
        <v>0.10479629629629628</v>
      </c>
    </row>
    <row r="107" spans="1:14">
      <c r="A107" s="3305"/>
      <c r="B107" s="2883">
        <v>6</v>
      </c>
      <c r="C107" s="2884">
        <f>0.7608/C101</f>
        <v>0.1408888888888889</v>
      </c>
      <c r="D107" s="2884">
        <f>0.7608/D101</f>
        <v>0.1408888888888889</v>
      </c>
      <c r="E107" s="2884">
        <f>0.6482/E101</f>
        <v>0.12003703703703703</v>
      </c>
      <c r="F107" s="2884">
        <f>0.6482/F101</f>
        <v>0.12003703703703703</v>
      </c>
      <c r="G107" s="2884">
        <f>0.6482/G101</f>
        <v>0.12003703703703703</v>
      </c>
      <c r="H107" s="2884">
        <f>0.6482/H101</f>
        <v>0.12003703703703703</v>
      </c>
      <c r="I107" s="2884">
        <f>0.6482/I101</f>
        <v>0.12003703703703703</v>
      </c>
      <c r="J107" s="2884">
        <f>0.4525/J101</f>
        <v>8.3796296296296299E-2</v>
      </c>
      <c r="K107" s="2884">
        <f>0.4525/K101</f>
        <v>8.3796296296296299E-2</v>
      </c>
      <c r="L107" s="2884">
        <f>0.4525/L101</f>
        <v>8.3796296296296299E-2</v>
      </c>
      <c r="M107" s="2884">
        <f>0.4525/M101</f>
        <v>8.3796296296296299E-2</v>
      </c>
      <c r="N107" s="2884">
        <f>0.4525/N101</f>
        <v>8.3796296296296299E-2</v>
      </c>
    </row>
    <row r="108" spans="1:14">
      <c r="A108" s="3305"/>
      <c r="B108" s="3130" t="s">
        <v>2967</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306"/>
      <c r="B109" s="3131"/>
      <c r="C109" s="2886">
        <f>(-0.163*(C108^2)-0.59*C108+7617)*(10^(-4))/C101</f>
        <v>0.14105555555555555</v>
      </c>
      <c r="D109" s="2886">
        <f>(-0.163*(D108^2)-0.59*D108+7617)*(10^(-4))/D101</f>
        <v>0.14105555555555555</v>
      </c>
      <c r="E109" s="2886">
        <f>(-0.161*(E108^2)-7.509*E108+6533)*(10^(-4))/E101</f>
        <v>0.12098148148148147</v>
      </c>
      <c r="F109" s="2886">
        <f>(-0.161*(F108^2)-7.509*F108+6533)*(10^(-4))/F101</f>
        <v>0.12098148148148147</v>
      </c>
      <c r="G109" s="2886">
        <f>(-0.161*(G108^2)-7.509*G108+6533)*(10^(-4))/G101</f>
        <v>0.12098148148148147</v>
      </c>
      <c r="H109" s="2886">
        <f>(-0.161*(H108^2)-7.509*H108+6533)*(10^(-4))/H101</f>
        <v>0.12098148148148147</v>
      </c>
      <c r="I109" s="2886">
        <f>(-0.161*(I108^2)-7.509*I108+6533)*(10^(-4))/I101</f>
        <v>0.12098148148148147</v>
      </c>
      <c r="J109" s="2886">
        <f>(-0.214*(J108^2)-21.991*J108+4665)*(10^(-4))/J101</f>
        <v>8.638888888888889E-2</v>
      </c>
      <c r="K109" s="2886">
        <f>(-0.214*(K108^2)-21.991*K108+4665)*(10^(-4))/K101</f>
        <v>8.638888888888889E-2</v>
      </c>
      <c r="L109" s="2886">
        <f>(-0.214*(L108^2)-21.991*L108+4665)*(10^(-4))/L101</f>
        <v>8.638888888888889E-2</v>
      </c>
      <c r="M109" s="2886">
        <f>(-0.214*(M108^2)-21.991*M108+4665)*(10^(-4))/M101</f>
        <v>8.638888888888889E-2</v>
      </c>
      <c r="N109" s="2886">
        <f>(-0.214*(N108^2)-21.991*N108+4665)*(10^(-4))/N101</f>
        <v>8.638888888888889E-2</v>
      </c>
    </row>
    <row r="110" spans="1:14">
      <c r="A110" s="3302" t="s">
        <v>2968</v>
      </c>
      <c r="B110" s="3302"/>
      <c r="C110" s="3302"/>
      <c r="D110" s="3302"/>
      <c r="E110" s="3302"/>
      <c r="F110" s="3302"/>
      <c r="G110" s="3302"/>
      <c r="H110" s="3302"/>
      <c r="I110" s="3302"/>
      <c r="J110" s="3302"/>
      <c r="K110" s="2889"/>
      <c r="L110" s="2889"/>
      <c r="M110" s="2889"/>
      <c r="N110" s="2889"/>
    </row>
    <row r="112" spans="1:14" ht="13.5" thickBot="1"/>
    <row r="113" spans="1:13" ht="25.5" thickBot="1">
      <c r="A113" s="902" t="s">
        <v>2969</v>
      </c>
      <c r="B113" s="1285">
        <f>G3</f>
        <v>5.4</v>
      </c>
      <c r="C113" s="903" t="s">
        <v>2970</v>
      </c>
      <c r="D113" s="904">
        <f>SUMPRODUCT((A115:A118=F113)*(B114:M114=H113)*B115:M118)</f>
        <v>0.78649999999999998</v>
      </c>
      <c r="E113" s="2720" t="s">
        <v>2804</v>
      </c>
      <c r="F113" s="2891" t="str">
        <f>E2</f>
        <v>办公</v>
      </c>
      <c r="G113" s="2720" t="s">
        <v>2805</v>
      </c>
      <c r="H113" s="2891" t="str">
        <f>G2</f>
        <v>五级</v>
      </c>
      <c r="I113" s="2720"/>
      <c r="J113" s="2892"/>
      <c r="K113" s="2892"/>
      <c r="L113" s="2892"/>
      <c r="M113" s="2892"/>
    </row>
    <row r="114" spans="1:13">
      <c r="A114" s="907"/>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8" t="s">
        <v>2868</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2869</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2870</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2871</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2" t="s">
        <v>183</v>
      </c>
      <c r="B18" s="881" t="s">
        <v>560</v>
      </c>
      <c r="C18" s="882" t="s">
        <v>561</v>
      </c>
      <c r="D18" s="883"/>
      <c r="E18" s="881">
        <v>1</v>
      </c>
      <c r="F18" s="884" t="s">
        <v>562</v>
      </c>
      <c r="G18" s="885"/>
      <c r="H18" s="877"/>
      <c r="I18" s="877"/>
    </row>
    <row r="19" spans="1:9" s="886" customFormat="1" ht="19.5" customHeight="1">
      <c r="A19" s="3322"/>
      <c r="B19" s="3322" t="s">
        <v>563</v>
      </c>
      <c r="C19" s="882" t="s">
        <v>564</v>
      </c>
      <c r="D19" s="883"/>
      <c r="E19" s="881">
        <v>0.9</v>
      </c>
      <c r="F19" s="884" t="s">
        <v>565</v>
      </c>
      <c r="G19" s="885"/>
      <c r="H19" s="877"/>
      <c r="I19" s="877"/>
    </row>
    <row r="20" spans="1:9" s="886" customFormat="1" ht="19.5" customHeight="1">
      <c r="A20" s="3322"/>
      <c r="B20" s="3322"/>
      <c r="C20" s="882" t="s">
        <v>566</v>
      </c>
      <c r="D20" s="883"/>
      <c r="E20" s="881">
        <v>1.1000000000000001</v>
      </c>
      <c r="F20" s="884" t="s">
        <v>567</v>
      </c>
      <c r="G20" s="885"/>
      <c r="H20" s="877"/>
      <c r="I20" s="877"/>
    </row>
    <row r="21" spans="1:9" s="886" customFormat="1" ht="19.5" customHeight="1">
      <c r="A21" s="3322"/>
      <c r="B21" s="3322"/>
      <c r="C21" s="882" t="s">
        <v>568</v>
      </c>
      <c r="D21" s="883"/>
      <c r="E21" s="881">
        <v>0.8</v>
      </c>
      <c r="F21" s="884" t="s">
        <v>569</v>
      </c>
      <c r="G21" s="885"/>
      <c r="H21" s="877"/>
      <c r="I21" s="877"/>
    </row>
    <row r="22" spans="1:9" s="886" customFormat="1" ht="19.5" customHeight="1">
      <c r="A22" s="3322"/>
      <c r="B22" s="3322"/>
      <c r="C22" s="882" t="s">
        <v>570</v>
      </c>
      <c r="D22" s="883"/>
      <c r="E22" s="881">
        <v>0.5</v>
      </c>
      <c r="F22" s="884"/>
      <c r="G22" s="885"/>
      <c r="H22" s="877"/>
      <c r="I22" s="877"/>
    </row>
    <row r="23" spans="1:9" s="886" customFormat="1" ht="19.5" customHeight="1">
      <c r="A23" s="3322" t="s">
        <v>184</v>
      </c>
      <c r="B23" s="881" t="s">
        <v>560</v>
      </c>
      <c r="C23" s="882" t="s">
        <v>571</v>
      </c>
      <c r="D23" s="883"/>
      <c r="E23" s="881">
        <v>1</v>
      </c>
      <c r="F23" s="884" t="s">
        <v>572</v>
      </c>
      <c r="G23" s="885"/>
      <c r="H23" s="877"/>
      <c r="I23" s="877"/>
    </row>
    <row r="24" spans="1:9" s="886" customFormat="1" ht="19.5" customHeight="1">
      <c r="A24" s="3322"/>
      <c r="B24" s="3322" t="s">
        <v>563</v>
      </c>
      <c r="C24" s="882" t="s">
        <v>573</v>
      </c>
      <c r="D24" s="883"/>
      <c r="E24" s="881">
        <v>0.5</v>
      </c>
      <c r="F24" s="884"/>
      <c r="G24" s="885"/>
      <c r="H24" s="877"/>
      <c r="I24" s="877"/>
    </row>
    <row r="25" spans="1:9" s="886" customFormat="1" ht="19.5" customHeight="1">
      <c r="A25" s="3322"/>
      <c r="B25" s="3322"/>
      <c r="C25" s="882" t="s">
        <v>574</v>
      </c>
      <c r="D25" s="883"/>
      <c r="E25" s="881">
        <v>1.1000000000000001</v>
      </c>
      <c r="F25" s="884"/>
      <c r="G25" s="885"/>
      <c r="H25" s="877"/>
      <c r="I25" s="877"/>
    </row>
    <row r="26" spans="1:9" s="886" customFormat="1" ht="19.5" customHeight="1">
      <c r="A26" s="3322"/>
      <c r="B26" s="3322"/>
      <c r="C26" s="882" t="s">
        <v>575</v>
      </c>
      <c r="D26" s="883"/>
      <c r="E26" s="881">
        <v>1.1000000000000001</v>
      </c>
      <c r="F26" s="884"/>
      <c r="G26" s="885"/>
      <c r="H26" s="877"/>
      <c r="I26" s="877"/>
    </row>
    <row r="27" spans="1:9" s="886" customFormat="1" ht="19.5" customHeight="1">
      <c r="A27" s="3322"/>
      <c r="B27" s="3322"/>
      <c r="C27" s="882" t="s">
        <v>576</v>
      </c>
      <c r="D27" s="883"/>
      <c r="E27" s="881">
        <v>0.9</v>
      </c>
      <c r="F27" s="884" t="s">
        <v>577</v>
      </c>
      <c r="G27" s="885"/>
      <c r="H27" s="877"/>
      <c r="I27" s="877"/>
    </row>
    <row r="28" spans="1:9" s="886" customFormat="1" ht="19.5" customHeight="1">
      <c r="A28" s="3322"/>
      <c r="B28" s="3322"/>
      <c r="C28" s="882" t="s">
        <v>578</v>
      </c>
      <c r="D28" s="883"/>
      <c r="E28" s="881">
        <v>0.9</v>
      </c>
      <c r="F28" s="884" t="s">
        <v>579</v>
      </c>
      <c r="G28" s="885"/>
      <c r="H28" s="877"/>
      <c r="I28" s="877"/>
    </row>
    <row r="29" spans="1:9" s="886" customFormat="1" ht="19.5" customHeight="1">
      <c r="A29" s="3322"/>
      <c r="B29" s="3322"/>
      <c r="C29" s="882" t="s">
        <v>580</v>
      </c>
      <c r="D29" s="883"/>
      <c r="E29" s="881">
        <v>0.9</v>
      </c>
      <c r="F29" s="884" t="s">
        <v>581</v>
      </c>
      <c r="G29" s="885"/>
      <c r="H29" s="877"/>
      <c r="I29" s="877"/>
    </row>
    <row r="30" spans="1:9" s="886" customFormat="1" ht="19.5" customHeight="1">
      <c r="A30" s="3322"/>
      <c r="B30" s="3322"/>
      <c r="C30" s="882" t="s">
        <v>582</v>
      </c>
      <c r="D30" s="883"/>
      <c r="E30" s="881">
        <v>0.9</v>
      </c>
      <c r="F30" s="884" t="s">
        <v>583</v>
      </c>
      <c r="G30" s="885"/>
      <c r="H30" s="877"/>
      <c r="I30" s="877"/>
    </row>
    <row r="31" spans="1:9" s="886" customFormat="1" ht="19.5" customHeight="1">
      <c r="A31" s="3322"/>
      <c r="B31" s="3322"/>
      <c r="C31" s="882" t="s">
        <v>584</v>
      </c>
      <c r="D31" s="883"/>
      <c r="E31" s="881">
        <v>0.8</v>
      </c>
      <c r="F31" s="884" t="s">
        <v>585</v>
      </c>
      <c r="G31" s="885"/>
      <c r="H31" s="877"/>
      <c r="I31" s="877"/>
    </row>
    <row r="32" spans="1:9" s="886" customFormat="1" ht="19.5" customHeight="1">
      <c r="A32" s="3322"/>
      <c r="B32" s="3322"/>
      <c r="C32" s="882" t="s">
        <v>586</v>
      </c>
      <c r="D32" s="883"/>
      <c r="E32" s="881">
        <v>0.8</v>
      </c>
      <c r="F32" s="884" t="s">
        <v>587</v>
      </c>
      <c r="G32" s="885"/>
      <c r="H32" s="877"/>
      <c r="I32" s="877"/>
    </row>
    <row r="33" spans="1:9" s="886" customFormat="1" ht="19.5" customHeight="1">
      <c r="A33" s="3322" t="s">
        <v>185</v>
      </c>
      <c r="B33" s="881" t="s">
        <v>560</v>
      </c>
      <c r="C33" s="882" t="s">
        <v>588</v>
      </c>
      <c r="D33" s="883"/>
      <c r="E33" s="881">
        <v>1</v>
      </c>
      <c r="F33" s="884" t="s">
        <v>589</v>
      </c>
      <c r="G33" s="885"/>
      <c r="H33" s="877"/>
      <c r="I33" s="877"/>
    </row>
    <row r="34" spans="1:9" s="886" customFormat="1" ht="19.5" customHeight="1">
      <c r="A34" s="3322"/>
      <c r="B34" s="881" t="s">
        <v>563</v>
      </c>
      <c r="C34" s="882" t="s">
        <v>590</v>
      </c>
      <c r="D34" s="883"/>
      <c r="E34" s="881">
        <v>1.5</v>
      </c>
      <c r="F34" s="884" t="s">
        <v>591</v>
      </c>
      <c r="G34" s="885"/>
      <c r="H34" s="877"/>
      <c r="I34" s="877"/>
    </row>
    <row r="35" spans="1:9" s="886" customFormat="1" ht="19.5" customHeight="1">
      <c r="A35" s="3322" t="s">
        <v>186</v>
      </c>
      <c r="B35" s="881" t="s">
        <v>560</v>
      </c>
      <c r="C35" s="882" t="s">
        <v>592</v>
      </c>
      <c r="D35" s="883"/>
      <c r="E35" s="881">
        <v>1</v>
      </c>
      <c r="F35" s="884" t="s">
        <v>593</v>
      </c>
      <c r="G35" s="885"/>
      <c r="H35" s="877"/>
      <c r="I35" s="877"/>
    </row>
    <row r="36" spans="1:9" s="886" customFormat="1" ht="19.5" customHeight="1">
      <c r="A36" s="3322"/>
      <c r="B36" s="3322" t="s">
        <v>563</v>
      </c>
      <c r="C36" s="882" t="s">
        <v>594</v>
      </c>
      <c r="D36" s="883"/>
      <c r="E36" s="881">
        <v>1</v>
      </c>
      <c r="F36" s="884" t="s">
        <v>595</v>
      </c>
      <c r="G36" s="885"/>
      <c r="H36" s="877"/>
      <c r="I36" s="877"/>
    </row>
    <row r="37" spans="1:9" s="886" customFormat="1" ht="19.5" customHeight="1">
      <c r="A37" s="3322"/>
      <c r="B37" s="3322"/>
      <c r="C37" s="882" t="s">
        <v>596</v>
      </c>
      <c r="D37" s="883"/>
      <c r="E37" s="881">
        <v>1.5</v>
      </c>
      <c r="F37" s="884" t="s">
        <v>597</v>
      </c>
      <c r="G37" s="885"/>
      <c r="H37" s="877"/>
      <c r="I37" s="877"/>
    </row>
    <row r="38" spans="1:9" s="886" customFormat="1" ht="19.5" customHeight="1">
      <c r="A38" s="3322"/>
      <c r="B38" s="3322"/>
      <c r="C38" s="882" t="s">
        <v>598</v>
      </c>
      <c r="D38" s="883"/>
      <c r="E38" s="881">
        <v>1</v>
      </c>
      <c r="F38" s="884" t="s">
        <v>599</v>
      </c>
      <c r="G38" s="885"/>
      <c r="H38" s="877"/>
      <c r="I38" s="877"/>
    </row>
    <row r="39" spans="1:9" s="886" customFormat="1" ht="19.5" customHeight="1">
      <c r="A39" s="3322"/>
      <c r="B39" s="332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2" t="s">
        <v>614</v>
      </c>
      <c r="C61" s="817" t="s">
        <v>615</v>
      </c>
      <c r="D61" s="817" t="s">
        <v>616</v>
      </c>
      <c r="E61" s="894">
        <v>0.5</v>
      </c>
      <c r="F61" s="881">
        <v>80</v>
      </c>
    </row>
    <row r="62" spans="1:8" s="877" customFormat="1" ht="24">
      <c r="A62" s="881">
        <v>2</v>
      </c>
      <c r="B62" s="3322"/>
      <c r="C62" s="817" t="s">
        <v>617</v>
      </c>
      <c r="D62" s="817" t="s">
        <v>618</v>
      </c>
      <c r="E62" s="894">
        <v>0.5</v>
      </c>
      <c r="F62" s="881">
        <v>80</v>
      </c>
    </row>
    <row r="63" spans="1:8" s="877" customFormat="1" ht="36">
      <c r="A63" s="881">
        <v>3</v>
      </c>
      <c r="B63" s="3322"/>
      <c r="C63" s="817" t="s">
        <v>619</v>
      </c>
      <c r="D63" s="817" t="s">
        <v>620</v>
      </c>
      <c r="E63" s="894">
        <v>0.5</v>
      </c>
      <c r="F63" s="881">
        <v>80</v>
      </c>
    </row>
    <row r="64" spans="1:8" s="877" customFormat="1" ht="36">
      <c r="A64" s="881">
        <v>4</v>
      </c>
      <c r="B64" s="3322"/>
      <c r="C64" s="817" t="s">
        <v>621</v>
      </c>
      <c r="D64" s="817" t="s">
        <v>622</v>
      </c>
      <c r="E64" s="894">
        <v>0.4</v>
      </c>
      <c r="F64" s="881">
        <v>60</v>
      </c>
    </row>
    <row r="65" spans="1:6" s="877" customFormat="1" ht="36">
      <c r="A65" s="881">
        <v>5</v>
      </c>
      <c r="B65" s="3322"/>
      <c r="C65" s="817" t="s">
        <v>623</v>
      </c>
      <c r="D65" s="817" t="s">
        <v>624</v>
      </c>
      <c r="E65" s="894">
        <v>0.2</v>
      </c>
      <c r="F65" s="881">
        <v>30</v>
      </c>
    </row>
    <row r="66" spans="1:6" s="877" customFormat="1" ht="36">
      <c r="A66" s="881">
        <v>6</v>
      </c>
      <c r="B66" s="3322"/>
      <c r="C66" s="817" t="s">
        <v>625</v>
      </c>
      <c r="D66" s="817" t="s">
        <v>626</v>
      </c>
      <c r="E66" s="894">
        <v>0.3</v>
      </c>
      <c r="F66" s="881">
        <v>50</v>
      </c>
    </row>
    <row r="67" spans="1:6" s="877" customFormat="1" ht="36">
      <c r="A67" s="881">
        <v>7</v>
      </c>
      <c r="B67" s="3322"/>
      <c r="C67" s="817" t="s">
        <v>627</v>
      </c>
      <c r="D67" s="817" t="s">
        <v>628</v>
      </c>
      <c r="E67" s="894">
        <v>0.2</v>
      </c>
      <c r="F67" s="881">
        <v>30</v>
      </c>
    </row>
    <row r="68" spans="1:6" s="877" customFormat="1" ht="36">
      <c r="A68" s="881">
        <v>8</v>
      </c>
      <c r="B68" s="3322"/>
      <c r="C68" s="817" t="s">
        <v>629</v>
      </c>
      <c r="D68" s="817" t="s">
        <v>630</v>
      </c>
      <c r="E68" s="894">
        <v>0.2</v>
      </c>
      <c r="F68" s="881">
        <v>30</v>
      </c>
    </row>
    <row r="69" spans="1:6" s="877" customFormat="1" ht="36">
      <c r="A69" s="881">
        <v>9</v>
      </c>
      <c r="B69" s="3322"/>
      <c r="C69" s="817" t="s">
        <v>631</v>
      </c>
      <c r="D69" s="817" t="s">
        <v>632</v>
      </c>
      <c r="E69" s="894">
        <v>0.2</v>
      </c>
      <c r="F69" s="881">
        <v>30</v>
      </c>
    </row>
    <row r="70" spans="1:6" s="877" customFormat="1" ht="48">
      <c r="A70" s="881">
        <v>10</v>
      </c>
      <c r="B70" s="3322"/>
      <c r="C70" s="817" t="s">
        <v>633</v>
      </c>
      <c r="D70" s="817" t="s">
        <v>634</v>
      </c>
      <c r="E70" s="894">
        <v>0.2</v>
      </c>
      <c r="F70" s="881">
        <v>30</v>
      </c>
    </row>
    <row r="71" spans="1:6" s="877" customFormat="1" ht="48">
      <c r="A71" s="881">
        <v>11</v>
      </c>
      <c r="B71" s="3322"/>
      <c r="C71" s="817" t="s">
        <v>635</v>
      </c>
      <c r="D71" s="817" t="s">
        <v>636</v>
      </c>
      <c r="E71" s="894">
        <v>0.2</v>
      </c>
      <c r="F71" s="881">
        <v>30</v>
      </c>
    </row>
    <row r="72" spans="1:6" s="877" customFormat="1" ht="36">
      <c r="A72" s="881">
        <v>12</v>
      </c>
      <c r="B72" s="3322"/>
      <c r="C72" s="817" t="s">
        <v>637</v>
      </c>
      <c r="D72" s="817" t="s">
        <v>638</v>
      </c>
      <c r="E72" s="894">
        <v>0.5</v>
      </c>
      <c r="F72" s="881">
        <v>80</v>
      </c>
    </row>
    <row r="73" spans="1:6" s="877" customFormat="1" ht="24">
      <c r="A73" s="881">
        <v>13</v>
      </c>
      <c r="B73" s="3322"/>
      <c r="C73" s="817" t="s">
        <v>639</v>
      </c>
      <c r="D73" s="817" t="s">
        <v>640</v>
      </c>
      <c r="E73" s="894">
        <v>0.4</v>
      </c>
      <c r="F73" s="881">
        <v>60</v>
      </c>
    </row>
    <row r="74" spans="1:6" s="877" customFormat="1" ht="24">
      <c r="A74" s="881">
        <v>14</v>
      </c>
      <c r="B74" s="3322"/>
      <c r="C74" s="817" t="s">
        <v>641</v>
      </c>
      <c r="D74" s="817" t="s">
        <v>642</v>
      </c>
      <c r="E74" s="894">
        <v>0.2</v>
      </c>
      <c r="F74" s="881">
        <v>30</v>
      </c>
    </row>
    <row r="75" spans="1:6" s="877" customFormat="1" ht="24">
      <c r="A75" s="881">
        <v>15</v>
      </c>
      <c r="B75" s="3322"/>
      <c r="C75" s="817" t="s">
        <v>643</v>
      </c>
      <c r="D75" s="817" t="s">
        <v>644</v>
      </c>
      <c r="E75" s="894">
        <v>0.2</v>
      </c>
      <c r="F75" s="881">
        <v>30</v>
      </c>
    </row>
    <row r="76" spans="1:6" s="877" customFormat="1" ht="24">
      <c r="A76" s="881">
        <v>16</v>
      </c>
      <c r="B76" s="3322" t="s">
        <v>645</v>
      </c>
      <c r="C76" s="817" t="s">
        <v>646</v>
      </c>
      <c r="D76" s="817" t="s">
        <v>647</v>
      </c>
      <c r="E76" s="894">
        <v>0.5</v>
      </c>
      <c r="F76" s="881">
        <v>80</v>
      </c>
    </row>
    <row r="77" spans="1:6" s="877" customFormat="1" ht="24">
      <c r="A77" s="881">
        <v>17</v>
      </c>
      <c r="B77" s="3322"/>
      <c r="C77" s="817" t="s">
        <v>648</v>
      </c>
      <c r="D77" s="817" t="s">
        <v>649</v>
      </c>
      <c r="E77" s="894">
        <v>0.5</v>
      </c>
      <c r="F77" s="881">
        <v>80</v>
      </c>
    </row>
    <row r="78" spans="1:6" s="877" customFormat="1" ht="24">
      <c r="A78" s="881">
        <v>18</v>
      </c>
      <c r="B78" s="3322"/>
      <c r="C78" s="817" t="s">
        <v>650</v>
      </c>
      <c r="D78" s="817" t="s">
        <v>651</v>
      </c>
      <c r="E78" s="894">
        <v>0.2</v>
      </c>
      <c r="F78" s="881">
        <v>30</v>
      </c>
    </row>
    <row r="79" spans="1:6" s="877" customFormat="1" ht="24">
      <c r="A79" s="881">
        <v>19</v>
      </c>
      <c r="B79" s="3322"/>
      <c r="C79" s="817" t="s">
        <v>652</v>
      </c>
      <c r="D79" s="817" t="s">
        <v>653</v>
      </c>
      <c r="E79" s="894">
        <v>0.5</v>
      </c>
      <c r="F79" s="881">
        <v>80</v>
      </c>
    </row>
    <row r="80" spans="1:6" s="877" customFormat="1" ht="36">
      <c r="A80" s="881">
        <v>20</v>
      </c>
      <c r="B80" s="3322"/>
      <c r="C80" s="817" t="s">
        <v>654</v>
      </c>
      <c r="D80" s="817" t="s">
        <v>655</v>
      </c>
      <c r="E80" s="894">
        <v>0.2</v>
      </c>
      <c r="F80" s="881">
        <v>30</v>
      </c>
    </row>
    <row r="81" spans="1:6" s="877" customFormat="1" ht="36">
      <c r="A81" s="881">
        <v>21</v>
      </c>
      <c r="B81" s="3322"/>
      <c r="C81" s="817" t="s">
        <v>656</v>
      </c>
      <c r="D81" s="817" t="s">
        <v>657</v>
      </c>
      <c r="E81" s="894">
        <v>0.2</v>
      </c>
      <c r="F81" s="881">
        <v>30</v>
      </c>
    </row>
    <row r="82" spans="1:6" s="877" customFormat="1" ht="48">
      <c r="A82" s="881">
        <v>22</v>
      </c>
      <c r="B82" s="3322"/>
      <c r="C82" s="817" t="s">
        <v>658</v>
      </c>
      <c r="D82" s="817" t="s">
        <v>659</v>
      </c>
      <c r="E82" s="894">
        <v>0.2</v>
      </c>
      <c r="F82" s="881">
        <v>30</v>
      </c>
    </row>
    <row r="83" spans="1:6" s="877" customFormat="1" ht="48">
      <c r="A83" s="881">
        <v>23</v>
      </c>
      <c r="B83" s="3322"/>
      <c r="C83" s="817" t="s">
        <v>660</v>
      </c>
      <c r="D83" s="817" t="s">
        <v>661</v>
      </c>
      <c r="E83" s="894">
        <v>0.2</v>
      </c>
      <c r="F83" s="881">
        <v>30</v>
      </c>
    </row>
    <row r="84" spans="1:6" s="877" customFormat="1" ht="36">
      <c r="A84" s="881">
        <v>24</v>
      </c>
      <c r="B84" s="3322"/>
      <c r="C84" s="817" t="s">
        <v>662</v>
      </c>
      <c r="D84" s="817" t="s">
        <v>663</v>
      </c>
      <c r="E84" s="894">
        <v>0.2</v>
      </c>
      <c r="F84" s="881">
        <v>30</v>
      </c>
    </row>
    <row r="85" spans="1:6" s="877" customFormat="1" ht="36">
      <c r="A85" s="881">
        <v>25</v>
      </c>
      <c r="B85" s="3322"/>
      <c r="C85" s="817" t="s">
        <v>664</v>
      </c>
      <c r="D85" s="817" t="s">
        <v>665</v>
      </c>
      <c r="E85" s="894">
        <v>0.5</v>
      </c>
      <c r="F85" s="881">
        <v>80</v>
      </c>
    </row>
    <row r="86" spans="1:6" s="877" customFormat="1" ht="36">
      <c r="A86" s="881">
        <v>26</v>
      </c>
      <c r="B86" s="3322"/>
      <c r="C86" s="817" t="s">
        <v>666</v>
      </c>
      <c r="D86" s="817" t="s">
        <v>667</v>
      </c>
      <c r="E86" s="894">
        <v>0.2</v>
      </c>
      <c r="F86" s="881">
        <v>30</v>
      </c>
    </row>
    <row r="87" spans="1:6" s="877" customFormat="1" ht="36">
      <c r="A87" s="881">
        <v>27</v>
      </c>
      <c r="B87" s="3322"/>
      <c r="C87" s="817" t="s">
        <v>668</v>
      </c>
      <c r="D87" s="817" t="s">
        <v>669</v>
      </c>
      <c r="E87" s="894">
        <v>0.2</v>
      </c>
      <c r="F87" s="881">
        <v>30</v>
      </c>
    </row>
    <row r="88" spans="1:6" s="877" customFormat="1" ht="36">
      <c r="A88" s="881">
        <v>28</v>
      </c>
      <c r="B88" s="3322"/>
      <c r="C88" s="817" t="s">
        <v>670</v>
      </c>
      <c r="D88" s="817" t="s">
        <v>671</v>
      </c>
      <c r="E88" s="894">
        <v>0.2</v>
      </c>
      <c r="F88" s="881">
        <v>30</v>
      </c>
    </row>
    <row r="89" spans="1:6" s="877" customFormat="1" ht="24">
      <c r="A89" s="881">
        <v>29</v>
      </c>
      <c r="B89" s="3322"/>
      <c r="C89" s="817" t="s">
        <v>672</v>
      </c>
      <c r="D89" s="817" t="s">
        <v>673</v>
      </c>
      <c r="E89" s="894">
        <v>0.2</v>
      </c>
      <c r="F89" s="881">
        <v>30</v>
      </c>
    </row>
    <row r="90" spans="1:6" s="877" customFormat="1" ht="24">
      <c r="A90" s="881">
        <v>30</v>
      </c>
      <c r="B90" s="3322"/>
      <c r="C90" s="817" t="s">
        <v>674</v>
      </c>
      <c r="D90" s="817" t="s">
        <v>675</v>
      </c>
      <c r="E90" s="894">
        <v>0.2</v>
      </c>
      <c r="F90" s="881">
        <v>30</v>
      </c>
    </row>
    <row r="91" spans="1:6" s="877" customFormat="1" ht="36">
      <c r="A91" s="881">
        <v>31</v>
      </c>
      <c r="B91" s="3322"/>
      <c r="C91" s="817" t="s">
        <v>676</v>
      </c>
      <c r="D91" s="817" t="s">
        <v>677</v>
      </c>
      <c r="E91" s="894">
        <v>0.2</v>
      </c>
      <c r="F91" s="881">
        <v>30</v>
      </c>
    </row>
    <row r="92" spans="1:6" s="877" customFormat="1" ht="24">
      <c r="A92" s="881">
        <v>32</v>
      </c>
      <c r="B92" s="3322" t="s">
        <v>678</v>
      </c>
      <c r="C92" s="881" t="s">
        <v>679</v>
      </c>
      <c r="D92" s="817" t="s">
        <v>680</v>
      </c>
      <c r="E92" s="894">
        <v>0.2</v>
      </c>
      <c r="F92" s="881">
        <v>30</v>
      </c>
    </row>
    <row r="93" spans="1:6" s="877" customFormat="1" ht="36">
      <c r="A93" s="881">
        <v>33</v>
      </c>
      <c r="B93" s="3322"/>
      <c r="C93" s="881" t="s">
        <v>681</v>
      </c>
      <c r="D93" s="817" t="s">
        <v>682</v>
      </c>
      <c r="E93" s="894">
        <v>0.2</v>
      </c>
      <c r="F93" s="881">
        <v>30</v>
      </c>
    </row>
    <row r="94" spans="1:6" s="877" customFormat="1" ht="48">
      <c r="A94" s="881">
        <v>34</v>
      </c>
      <c r="B94" s="3322"/>
      <c r="C94" s="881" t="s">
        <v>683</v>
      </c>
      <c r="D94" s="817" t="s">
        <v>684</v>
      </c>
      <c r="E94" s="894">
        <v>0.2</v>
      </c>
      <c r="F94" s="881">
        <v>30</v>
      </c>
    </row>
    <row r="95" spans="1:6" s="877" customFormat="1" ht="36">
      <c r="A95" s="881">
        <v>35</v>
      </c>
      <c r="B95" s="3322"/>
      <c r="C95" s="881" t="s">
        <v>685</v>
      </c>
      <c r="D95" s="817" t="s">
        <v>686</v>
      </c>
      <c r="E95" s="894">
        <v>0.2</v>
      </c>
      <c r="F95" s="881">
        <v>30</v>
      </c>
    </row>
    <row r="96" spans="1:6" s="877" customFormat="1" ht="48">
      <c r="A96" s="881">
        <v>36</v>
      </c>
      <c r="B96" s="3322"/>
      <c r="C96" s="817" t="s">
        <v>687</v>
      </c>
      <c r="D96" s="817" t="s">
        <v>688</v>
      </c>
      <c r="E96" s="894">
        <v>0.2</v>
      </c>
      <c r="F96" s="881">
        <v>30</v>
      </c>
    </row>
    <row r="97" spans="1:6" s="877" customFormat="1" ht="36">
      <c r="A97" s="881">
        <v>37</v>
      </c>
      <c r="B97" s="3322"/>
      <c r="C97" s="881" t="s">
        <v>689</v>
      </c>
      <c r="D97" s="817" t="s">
        <v>690</v>
      </c>
      <c r="E97" s="894">
        <v>0.2</v>
      </c>
      <c r="F97" s="881">
        <v>30</v>
      </c>
    </row>
    <row r="98" spans="1:6" s="877" customFormat="1" ht="36">
      <c r="A98" s="881">
        <v>38</v>
      </c>
      <c r="B98" s="3322"/>
      <c r="C98" s="881" t="s">
        <v>691</v>
      </c>
      <c r="D98" s="817" t="s">
        <v>692</v>
      </c>
      <c r="E98" s="894">
        <v>0.2</v>
      </c>
      <c r="F98" s="881">
        <v>30</v>
      </c>
    </row>
    <row r="99" spans="1:6" s="877" customFormat="1" ht="36">
      <c r="A99" s="881">
        <v>39</v>
      </c>
      <c r="B99" s="3322" t="s">
        <v>693</v>
      </c>
      <c r="C99" s="881" t="s">
        <v>694</v>
      </c>
      <c r="D99" s="817" t="s">
        <v>695</v>
      </c>
      <c r="E99" s="894">
        <v>0.3</v>
      </c>
      <c r="F99" s="881">
        <v>50</v>
      </c>
    </row>
    <row r="100" spans="1:6" s="877" customFormat="1" ht="24">
      <c r="A100" s="881">
        <v>40</v>
      </c>
      <c r="B100" s="3322"/>
      <c r="C100" s="881" t="s">
        <v>696</v>
      </c>
      <c r="D100" s="817" t="s">
        <v>697</v>
      </c>
      <c r="E100" s="894">
        <v>0.2</v>
      </c>
      <c r="F100" s="881">
        <v>30</v>
      </c>
    </row>
    <row r="101" spans="1:6" s="877" customFormat="1" ht="36">
      <c r="A101" s="881">
        <v>41</v>
      </c>
      <c r="B101" s="332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2" t="s">
        <v>708</v>
      </c>
      <c r="C105" s="881" t="s">
        <v>709</v>
      </c>
      <c r="D105" s="817" t="s">
        <v>710</v>
      </c>
      <c r="E105" s="894">
        <v>0.2</v>
      </c>
      <c r="F105" s="881">
        <v>30</v>
      </c>
    </row>
    <row r="106" spans="1:6" s="877" customFormat="1" ht="36">
      <c r="A106" s="881">
        <v>46</v>
      </c>
      <c r="B106" s="3322"/>
      <c r="C106" s="881" t="s">
        <v>711</v>
      </c>
      <c r="D106" s="817" t="s">
        <v>712</v>
      </c>
      <c r="E106" s="894">
        <v>0.2</v>
      </c>
      <c r="F106" s="881">
        <v>30</v>
      </c>
    </row>
    <row r="107" spans="1:6" s="877" customFormat="1" ht="36">
      <c r="A107" s="881">
        <v>47</v>
      </c>
      <c r="B107" s="3322" t="s">
        <v>713</v>
      </c>
      <c r="C107" s="881" t="s">
        <v>714</v>
      </c>
      <c r="D107" s="817" t="s">
        <v>715</v>
      </c>
      <c r="E107" s="894">
        <v>0.3</v>
      </c>
      <c r="F107" s="881">
        <v>50</v>
      </c>
    </row>
    <row r="108" spans="1:6" s="877" customFormat="1" ht="36">
      <c r="A108" s="881">
        <v>48</v>
      </c>
      <c r="B108" s="332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2" t="s">
        <v>724</v>
      </c>
      <c r="C111" s="881" t="s">
        <v>725</v>
      </c>
      <c r="D111" s="817" t="s">
        <v>726</v>
      </c>
      <c r="E111" s="894">
        <v>0.2</v>
      </c>
      <c r="F111" s="881">
        <v>30</v>
      </c>
    </row>
    <row r="112" spans="1:6" s="877" customFormat="1" ht="24">
      <c r="A112" s="881">
        <v>52</v>
      </c>
      <c r="B112" s="3322"/>
      <c r="C112" s="881" t="s">
        <v>727</v>
      </c>
      <c r="D112" s="817" t="s">
        <v>728</v>
      </c>
      <c r="E112" s="894">
        <v>0.2</v>
      </c>
      <c r="F112" s="881">
        <v>30</v>
      </c>
    </row>
    <row r="113" spans="1:6" s="877" customFormat="1" ht="24">
      <c r="A113" s="881">
        <v>53</v>
      </c>
      <c r="B113" s="332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2" t="s">
        <v>737</v>
      </c>
      <c r="C116" s="881" t="s">
        <v>738</v>
      </c>
      <c r="D116" s="817" t="s">
        <v>739</v>
      </c>
      <c r="E116" s="894">
        <v>0.2</v>
      </c>
      <c r="F116" s="881">
        <v>30</v>
      </c>
    </row>
    <row r="117" spans="1:6" ht="36">
      <c r="A117" s="881">
        <v>57</v>
      </c>
      <c r="B117" s="332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2991</v>
      </c>
    </row>
    <row r="2" spans="1:5" ht="15.75">
      <c r="A2" s="2898" t="s">
        <v>2983</v>
      </c>
      <c r="B2" s="2899">
        <f ca="1">SUMIF(B6:B13,"&lt;&gt;#ref!",B6:B13)</f>
        <v>97</v>
      </c>
      <c r="C2" s="2898" t="s">
        <v>2984</v>
      </c>
      <c r="D2" s="2898" t="s">
        <v>2985</v>
      </c>
      <c r="E2" s="2899">
        <f ca="1">SUMIF(E6:E13,"&lt;&gt;#ref!",E6:E13)</f>
        <v>78.53</v>
      </c>
    </row>
    <row r="3" spans="1:5" ht="15.75">
      <c r="A3" s="2898" t="s">
        <v>2986</v>
      </c>
      <c r="B3" s="2899">
        <f ca="1">ROUND(B2*10000/E2,0)</f>
        <v>12352</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97</v>
      </c>
      <c r="C6" s="2898" t="s">
        <v>2984</v>
      </c>
      <c r="D6" s="2900"/>
      <c r="E6" s="2571">
        <f ca="1">SUMIF(INDIRECT("'"&amp;A6&amp;"'"&amp;"!C:C"),"建筑面积",INDIRECT("'"&amp;A6&amp;"'"&amp;"!D:D"))</f>
        <v>78.53</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8" t="s">
        <v>1146</v>
      </c>
      <c r="C1" s="3328"/>
      <c r="D1" s="3328"/>
      <c r="E1" s="3328"/>
      <c r="F1" s="3328"/>
      <c r="G1" s="3324" t="s">
        <v>1147</v>
      </c>
      <c r="H1" s="3324"/>
      <c r="I1" s="3324"/>
      <c r="J1" s="3324"/>
      <c r="K1" s="3324"/>
      <c r="L1" s="3324"/>
      <c r="N1" s="3324" t="s">
        <v>1148</v>
      </c>
      <c r="O1" s="3324"/>
      <c r="P1" s="3324"/>
      <c r="Q1" s="3324"/>
      <c r="R1" s="1444"/>
      <c r="S1" s="3324" t="s">
        <v>1149</v>
      </c>
      <c r="T1" s="3324"/>
      <c r="U1" s="3324"/>
      <c r="V1" s="3324"/>
      <c r="X1" s="3323" t="s">
        <v>1150</v>
      </c>
      <c r="Y1" s="3324"/>
      <c r="Z1" s="3324"/>
      <c r="AA1" s="3324"/>
      <c r="AB1" s="3324"/>
      <c r="AD1" s="3323" t="s">
        <v>1151</v>
      </c>
      <c r="AE1" s="3324"/>
      <c r="AF1" s="3324"/>
      <c r="AG1" s="3324"/>
      <c r="AH1" s="332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3024</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3025</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3040</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2956">
        <v>1.53</v>
      </c>
      <c r="J6" s="2956">
        <v>1.01</v>
      </c>
      <c r="K6" s="2956">
        <v>1.62</v>
      </c>
      <c r="L6" s="2957">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3037</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3042</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6">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3031</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6"/>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3030</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6"/>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3023</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33"/>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3020</v>
      </c>
      <c r="B12" s="1467">
        <v>439</v>
      </c>
      <c r="C12" s="1467">
        <v>327</v>
      </c>
      <c r="D12" s="1467">
        <f>C12</f>
        <v>327</v>
      </c>
      <c r="E12" s="1467">
        <v>627</v>
      </c>
      <c r="F12" s="1468">
        <v>283</v>
      </c>
      <c r="G12" s="3329">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3021</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6"/>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6"/>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33"/>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9">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6"/>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6"/>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7"/>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25">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6"/>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6"/>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7"/>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25">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6"/>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6"/>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7"/>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30">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31"/>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31"/>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32"/>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25">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6"/>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6"/>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7"/>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25">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6">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6">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7">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25">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6">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6">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7">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25">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6">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6">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7">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25">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6">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6">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7">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25">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6">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6">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7">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25">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6">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6">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7">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25">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6">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6">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7">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25">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6">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6">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7">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25">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6">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6">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7">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25">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6">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6">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7">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58"/>
      <c r="B4" s="3014" t="s">
        <v>1625</v>
      </c>
      <c r="C4" s="3014"/>
      <c r="D4" s="3014"/>
      <c r="E4" s="1958"/>
    </row>
    <row r="5" spans="1:5" ht="16.5" thickTop="1">
      <c r="A5" s="1956"/>
      <c r="B5" s="3012" t="s">
        <v>1617</v>
      </c>
      <c r="C5" s="1959" t="s">
        <v>1618</v>
      </c>
      <c r="D5" s="1039">
        <f ca="1">结果表!H101</f>
        <v>1755</v>
      </c>
      <c r="E5" s="1956"/>
    </row>
    <row r="6" spans="1:5" ht="15.75">
      <c r="A6" s="1956"/>
      <c r="B6" s="3012"/>
      <c r="C6" s="1959" t="s">
        <v>1619</v>
      </c>
      <c r="D6" s="1039" t="str">
        <f ca="1">NUMBERSTRING(INT(D5*10000),2)&amp;"元整"</f>
        <v>壹仟柒佰伍拾伍万元整</v>
      </c>
      <c r="E6" s="1956"/>
    </row>
    <row r="7" spans="1:5" ht="15.75">
      <c r="A7" s="1956"/>
      <c r="B7" s="3017"/>
      <c r="C7" s="1960" t="s">
        <v>1620</v>
      </c>
      <c r="D7" s="1040">
        <f ca="1">结果表!H102</f>
        <v>40324</v>
      </c>
      <c r="E7" s="1956"/>
    </row>
    <row r="8" spans="1:5" ht="15.75">
      <c r="A8" s="1956"/>
      <c r="B8" s="3018" t="str">
        <f>结果表!E103</f>
        <v>2.估价师知悉的法定优先受偿款</v>
      </c>
      <c r="C8" s="1961" t="s">
        <v>1621</v>
      </c>
      <c r="D8" s="1040">
        <f>结果表!H103</f>
        <v>0</v>
      </c>
      <c r="E8" s="1956"/>
    </row>
    <row r="9" spans="1:5" ht="15.75">
      <c r="A9" s="1956"/>
      <c r="B9" s="3020"/>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11" t="str">
        <f>结果表!E107</f>
        <v>3.房地产抵押价值</v>
      </c>
      <c r="C13" s="1964" t="s">
        <v>1618</v>
      </c>
      <c r="D13" s="1042">
        <f ca="1">结果表!H107</f>
        <v>1755</v>
      </c>
      <c r="E13" s="1956"/>
    </row>
    <row r="14" spans="1:5" ht="15.75">
      <c r="A14" s="1956"/>
      <c r="B14" s="3012"/>
      <c r="C14" s="1959" t="s">
        <v>1619</v>
      </c>
      <c r="D14" s="1039" t="str">
        <f ca="1">NUMBERSTRING(INT(D13*10000),2)&amp;"元整"</f>
        <v>壹仟柒佰伍拾伍万元整</v>
      </c>
      <c r="E14" s="1956"/>
    </row>
    <row r="15" spans="1:5" ht="15">
      <c r="A15" s="1956"/>
      <c r="B15" s="3017"/>
      <c r="C15" s="1960" t="s">
        <v>1629</v>
      </c>
      <c r="D15" s="1051">
        <f ca="1">结果表!H108</f>
        <v>40324</v>
      </c>
      <c r="E15" s="1956"/>
    </row>
    <row r="16" spans="1:5" ht="15">
      <c r="A16" s="1956"/>
      <c r="B16" s="3018" t="str">
        <f>结果表!E109</f>
        <v>——</v>
      </c>
      <c r="C16" s="1964" t="s">
        <v>1630</v>
      </c>
      <c r="D16" s="1965" t="str">
        <f>结果表!H109</f>
        <v>——</v>
      </c>
      <c r="E16" s="1956"/>
    </row>
    <row r="17" spans="1:5" ht="15.75">
      <c r="A17" s="1956"/>
      <c r="B17" s="3019"/>
      <c r="C17" s="1959" t="s">
        <v>1631</v>
      </c>
      <c r="D17" s="1039" t="e">
        <f>NUMBERSTRING(INT(D16*10000),2)&amp;"元整"</f>
        <v>#VALUE!</v>
      </c>
      <c r="E17" s="1956"/>
    </row>
    <row r="18" spans="1:5" ht="15">
      <c r="A18" s="1956"/>
      <c r="B18" s="3020"/>
      <c r="C18" s="1960" t="s">
        <v>1620</v>
      </c>
      <c r="D18" s="1051" t="str">
        <f>结果表!H110</f>
        <v>——</v>
      </c>
      <c r="E18" s="1956"/>
    </row>
    <row r="19" spans="1:5" ht="15.75">
      <c r="A19" s="1956"/>
      <c r="B19" s="3011" t="str">
        <f>结果表!E111</f>
        <v>——</v>
      </c>
      <c r="C19" s="1964" t="s">
        <v>1618</v>
      </c>
      <c r="D19" s="1040" t="str">
        <f>结果表!H111</f>
        <v>——</v>
      </c>
      <c r="E19" s="1956"/>
    </row>
    <row r="20" spans="1:5" ht="15.75">
      <c r="A20" s="1956"/>
      <c r="B20" s="3012"/>
      <c r="C20" s="1959" t="s">
        <v>1631</v>
      </c>
      <c r="D20" s="1039" t="e">
        <f>NUMBERSTRING(INT(D19*10000),2)&amp;"元整"</f>
        <v>#VALUE!</v>
      </c>
      <c r="E20" s="1956"/>
    </row>
    <row r="21" spans="1:5" ht="15.75" thickBot="1">
      <c r="A21" s="1956"/>
      <c r="B21" s="3013"/>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88" zoomScale="90" zoomScaleNormal="90" workbookViewId="0">
      <selection activeCell="J107" sqref="J10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3144</v>
      </c>
      <c r="G1" s="1629" t="s">
        <v>2522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5.5</v>
      </c>
      <c r="C3" s="400" t="s">
        <v>2524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2525</v>
      </c>
      <c r="B4" s="402"/>
      <c r="C4" s="3244" t="s">
        <v>2526</v>
      </c>
      <c r="D4" s="3245"/>
      <c r="E4" s="3246" t="s">
        <v>2527</v>
      </c>
      <c r="F4" s="3247"/>
      <c r="G4" s="3244" t="s">
        <v>2528</v>
      </c>
      <c r="H4" s="3245"/>
      <c r="I4" s="3244" t="s">
        <v>2529</v>
      </c>
      <c r="J4" s="3245"/>
      <c r="K4" s="610" t="s">
        <v>2530</v>
      </c>
      <c r="L4" s="1129"/>
      <c r="M4" s="1130"/>
      <c r="N4" s="1130"/>
      <c r="O4" s="1130"/>
      <c r="P4" s="3281" t="s">
        <v>2531</v>
      </c>
      <c r="Q4" s="3282"/>
      <c r="R4" s="3273" t="s">
        <v>2527</v>
      </c>
      <c r="S4" s="3274"/>
      <c r="T4" s="3273" t="s">
        <v>2528</v>
      </c>
      <c r="U4" s="3274"/>
      <c r="V4" s="3285" t="s">
        <v>2529</v>
      </c>
      <c r="W4" s="3285"/>
      <c r="X4" s="2954"/>
      <c r="Y4" s="3273" t="s">
        <v>2531</v>
      </c>
      <c r="Z4" s="3274"/>
      <c r="AA4" s="3272" t="s">
        <v>2527</v>
      </c>
      <c r="AB4" s="3272" t="s">
        <v>2528</v>
      </c>
      <c r="AC4" s="3278" t="s">
        <v>2529</v>
      </c>
    </row>
    <row r="5" spans="1:29" ht="15">
      <c r="A5" s="404"/>
      <c r="B5" s="405"/>
      <c r="C5" s="3276" t="s">
        <v>3101</v>
      </c>
      <c r="D5" s="3238"/>
      <c r="E5" s="3275" t="s">
        <v>3148</v>
      </c>
      <c r="F5" s="3236"/>
      <c r="G5" s="3276" t="s">
        <v>3145</v>
      </c>
      <c r="H5" s="3238"/>
      <c r="I5" s="3276" t="s">
        <v>3165</v>
      </c>
      <c r="J5" s="3238"/>
      <c r="K5" s="610"/>
      <c r="L5" s="1129"/>
      <c r="M5" s="1130"/>
      <c r="N5" s="1130"/>
      <c r="O5" s="1130"/>
      <c r="P5" s="3283"/>
      <c r="Q5" s="3251"/>
      <c r="R5" s="3233"/>
      <c r="S5" s="3234"/>
      <c r="T5" s="3233"/>
      <c r="U5" s="3234"/>
      <c r="V5" s="3256"/>
      <c r="W5" s="3256"/>
      <c r="X5" s="2952"/>
      <c r="Y5" s="3233"/>
      <c r="Z5" s="3234"/>
      <c r="AA5" s="3227"/>
      <c r="AB5" s="3227"/>
      <c r="AC5" s="3279"/>
    </row>
    <row r="6" spans="1:29" ht="15.75" customHeight="1" thickBot="1">
      <c r="A6" s="406"/>
      <c r="B6" s="407"/>
      <c r="C6" s="3277" t="s">
        <v>3149</v>
      </c>
      <c r="D6" s="3240"/>
      <c r="E6" s="3277" t="s">
        <v>3149</v>
      </c>
      <c r="F6" s="3240"/>
      <c r="G6" s="3334" t="s">
        <v>3154</v>
      </c>
      <c r="H6" s="3335"/>
      <c r="I6" s="3277" t="s">
        <v>3147</v>
      </c>
      <c r="J6" s="3240"/>
      <c r="K6" s="610" t="s">
        <v>2537</v>
      </c>
      <c r="L6" s="1129"/>
      <c r="M6" s="1130"/>
      <c r="N6" s="1130"/>
      <c r="O6" s="1130"/>
      <c r="P6" s="3284"/>
      <c r="Q6" s="3253"/>
      <c r="R6" s="3233"/>
      <c r="S6" s="3234"/>
      <c r="T6" s="3254"/>
      <c r="U6" s="3255"/>
      <c r="V6" s="3256"/>
      <c r="W6" s="3256"/>
      <c r="X6" s="2952"/>
      <c r="Y6" s="3254"/>
      <c r="Z6" s="3255"/>
      <c r="AA6" s="3228"/>
      <c r="AB6" s="3228"/>
      <c r="AC6" s="3280"/>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6" t="s">
        <v>2539</v>
      </c>
      <c r="Q7" s="3257"/>
      <c r="R7" s="769" t="s">
        <v>17</v>
      </c>
      <c r="S7" s="770">
        <f t="shared" ref="S7:S15" si="0">F7</f>
        <v>100</v>
      </c>
      <c r="T7" s="769" t="s">
        <v>17</v>
      </c>
      <c r="U7" s="770">
        <f t="shared" ref="U7:U15" si="1">H7</f>
        <v>100</v>
      </c>
      <c r="V7" s="769" t="s">
        <v>17</v>
      </c>
      <c r="W7" s="770">
        <f t="shared" ref="W7:W15" si="2">J7</f>
        <v>100</v>
      </c>
      <c r="X7" s="771"/>
      <c r="Y7" s="3229" t="s">
        <v>2539</v>
      </c>
      <c r="Z7" s="3230"/>
      <c r="AA7" s="772">
        <f>D7/F7</f>
        <v>1</v>
      </c>
      <c r="AB7" s="772">
        <f>D7/H7</f>
        <v>1</v>
      </c>
      <c r="AC7" s="2667">
        <f>D7/J7</f>
        <v>1</v>
      </c>
    </row>
    <row r="8" spans="1:29" s="117" customFormat="1" ht="15.75" thickBot="1">
      <c r="A8" s="408" t="s">
        <v>2540</v>
      </c>
      <c r="B8" s="409"/>
      <c r="C8" s="414" t="s">
        <v>2577</v>
      </c>
      <c r="D8" s="411">
        <v>100</v>
      </c>
      <c r="E8" s="414" t="s">
        <v>3102</v>
      </c>
      <c r="F8" s="413">
        <f>SUMIF(62:62,E8,63:63)-SUMIF(62:62,C8,63:63)+100</f>
        <v>100</v>
      </c>
      <c r="G8" s="414" t="s">
        <v>3102</v>
      </c>
      <c r="H8" s="411">
        <f>SUMIF(62:62,G8,63:63)-SUMIF(62:62,C8,63:63)+100</f>
        <v>100</v>
      </c>
      <c r="I8" s="414" t="s">
        <v>3102</v>
      </c>
      <c r="J8" s="411">
        <f>SUMIF(62:62,I8,63:63)-SUMIF(62:62,C8,63:63)+100</f>
        <v>100</v>
      </c>
      <c r="K8" s="611"/>
      <c r="L8" s="1131"/>
      <c r="M8" s="1132"/>
      <c r="N8" s="1132"/>
      <c r="O8" s="1132"/>
      <c r="P8" s="3286" t="s">
        <v>2542</v>
      </c>
      <c r="Q8" s="3230"/>
      <c r="R8" s="769" t="s">
        <v>17</v>
      </c>
      <c r="S8" s="770">
        <f t="shared" si="0"/>
        <v>100</v>
      </c>
      <c r="T8" s="769" t="s">
        <v>17</v>
      </c>
      <c r="U8" s="770">
        <f t="shared" si="1"/>
        <v>100</v>
      </c>
      <c r="V8" s="769" t="s">
        <v>17</v>
      </c>
      <c r="W8" s="770">
        <f t="shared" si="2"/>
        <v>100</v>
      </c>
      <c r="X8" s="771"/>
      <c r="Y8" s="3229" t="s">
        <v>2542</v>
      </c>
      <c r="Z8" s="3230"/>
      <c r="AA8" s="772">
        <f t="shared" ref="AA8:AA47" si="3">D8/F8</f>
        <v>1</v>
      </c>
      <c r="AB8" s="772">
        <f t="shared" ref="AB8:AB47" si="4">D8/H8</f>
        <v>1</v>
      </c>
      <c r="AC8" s="2667">
        <f t="shared" ref="AC8:AC47" si="5">D8/J8</f>
        <v>1</v>
      </c>
    </row>
    <row r="9" spans="1:29" s="117" customFormat="1">
      <c r="A9" s="415" t="s">
        <v>2543</v>
      </c>
      <c r="B9" s="71" t="s">
        <v>2544</v>
      </c>
      <c r="C9" s="2966" t="s">
        <v>3103</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43" t="s">
        <v>2545</v>
      </c>
      <c r="Q9" s="2946" t="str">
        <f t="shared" ref="Q9:Q15" si="6">B9</f>
        <v>用途</v>
      </c>
      <c r="R9" s="769" t="s">
        <v>17</v>
      </c>
      <c r="S9" s="770">
        <f t="shared" si="0"/>
        <v>100</v>
      </c>
      <c r="T9" s="769" t="s">
        <v>17</v>
      </c>
      <c r="U9" s="770">
        <f t="shared" si="1"/>
        <v>100</v>
      </c>
      <c r="V9" s="769" t="s">
        <v>17</v>
      </c>
      <c r="W9" s="770">
        <f t="shared" si="2"/>
        <v>100</v>
      </c>
      <c r="X9" s="771"/>
      <c r="Y9" s="3076" t="s">
        <v>2546</v>
      </c>
      <c r="Z9" s="2947" t="str">
        <f t="shared" ref="Z9:Z15" si="7">Q9</f>
        <v>用途</v>
      </c>
      <c r="AA9" s="772">
        <f t="shared" si="3"/>
        <v>1</v>
      </c>
      <c r="AB9" s="772">
        <f t="shared" si="4"/>
        <v>1</v>
      </c>
      <c r="AC9" s="2667">
        <f t="shared" si="5"/>
        <v>1</v>
      </c>
    </row>
    <row r="10" spans="1:29" s="427" customFormat="1" ht="27">
      <c r="A10" s="421"/>
      <c r="B10" s="2948" t="s">
        <v>2547</v>
      </c>
      <c r="C10" s="423" t="s">
        <v>3104</v>
      </c>
      <c r="D10" s="136">
        <v>100</v>
      </c>
      <c r="E10" s="423" t="s">
        <v>3104</v>
      </c>
      <c r="F10" s="136">
        <f>SUMIF(66:66,E10,67:67)-SUMIF(66:66,C10,67:67)+100</f>
        <v>100</v>
      </c>
      <c r="G10" s="423" t="s">
        <v>3104</v>
      </c>
      <c r="H10" s="136">
        <f>SUMIF(66:66,G10,67:67)-SUMIF(66:66,C10,67:67)+100</f>
        <v>100</v>
      </c>
      <c r="I10" s="423" t="s">
        <v>3104</v>
      </c>
      <c r="J10" s="136">
        <f>SUMIF(66:66,I10,67:67)-SUMIF(66:66,C10,67:67)+100</f>
        <v>100</v>
      </c>
      <c r="K10" s="612">
        <v>0</v>
      </c>
      <c r="L10" s="1134"/>
      <c r="M10" s="1135"/>
      <c r="N10" s="1135"/>
      <c r="O10" s="1135"/>
      <c r="P10" s="3243"/>
      <c r="Q10" s="2946" t="str">
        <f t="shared" si="6"/>
        <v>土地使用年限（年）</v>
      </c>
      <c r="R10" s="769" t="s">
        <v>17</v>
      </c>
      <c r="S10" s="770">
        <f t="shared" si="0"/>
        <v>100</v>
      </c>
      <c r="T10" s="769" t="s">
        <v>17</v>
      </c>
      <c r="U10" s="770">
        <f t="shared" si="1"/>
        <v>100</v>
      </c>
      <c r="V10" s="769" t="s">
        <v>17</v>
      </c>
      <c r="W10" s="770">
        <f t="shared" si="2"/>
        <v>100</v>
      </c>
      <c r="X10" s="771"/>
      <c r="Y10" s="3076"/>
      <c r="Z10" s="2947" t="str">
        <f t="shared" si="7"/>
        <v>土地使用年限（年）</v>
      </c>
      <c r="AA10" s="772">
        <f t="shared" si="3"/>
        <v>1</v>
      </c>
      <c r="AB10" s="772">
        <f t="shared" si="4"/>
        <v>1</v>
      </c>
      <c r="AC10" s="2667">
        <f t="shared" si="5"/>
        <v>1</v>
      </c>
    </row>
    <row r="11" spans="1:29" ht="15">
      <c r="A11" s="428"/>
      <c r="B11" s="2948"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3"/>
      <c r="Q11" s="2946" t="str">
        <f t="shared" si="6"/>
        <v>容积率</v>
      </c>
      <c r="R11" s="769" t="s">
        <v>17</v>
      </c>
      <c r="S11" s="770">
        <f t="shared" si="0"/>
        <v>100</v>
      </c>
      <c r="T11" s="769" t="s">
        <v>17</v>
      </c>
      <c r="U11" s="770">
        <f t="shared" si="1"/>
        <v>100</v>
      </c>
      <c r="V11" s="769" t="s">
        <v>17</v>
      </c>
      <c r="W11" s="770">
        <f t="shared" si="2"/>
        <v>100</v>
      </c>
      <c r="X11" s="771"/>
      <c r="Y11" s="3076"/>
      <c r="Z11" s="2947"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43"/>
      <c r="Q12" s="2946">
        <f t="shared" si="6"/>
        <v>111</v>
      </c>
      <c r="R12" s="769" t="s">
        <v>17</v>
      </c>
      <c r="S12" s="770">
        <f t="shared" si="0"/>
        <v>100</v>
      </c>
      <c r="T12" s="769" t="s">
        <v>17</v>
      </c>
      <c r="U12" s="770">
        <f t="shared" si="1"/>
        <v>100</v>
      </c>
      <c r="V12" s="769" t="s">
        <v>17</v>
      </c>
      <c r="W12" s="770">
        <f t="shared" si="2"/>
        <v>100</v>
      </c>
      <c r="X12" s="771"/>
      <c r="Y12" s="3076"/>
      <c r="Z12" s="2947">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43"/>
      <c r="Q13" s="2946">
        <f t="shared" si="6"/>
        <v>111</v>
      </c>
      <c r="R13" s="769" t="s">
        <v>17</v>
      </c>
      <c r="S13" s="770">
        <f t="shared" si="0"/>
        <v>100</v>
      </c>
      <c r="T13" s="769" t="s">
        <v>17</v>
      </c>
      <c r="U13" s="770">
        <f t="shared" si="1"/>
        <v>100</v>
      </c>
      <c r="V13" s="769" t="s">
        <v>17</v>
      </c>
      <c r="W13" s="770">
        <f t="shared" si="2"/>
        <v>100</v>
      </c>
      <c r="X13" s="771"/>
      <c r="Y13" s="3076"/>
      <c r="Z13" s="2947">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43"/>
      <c r="Q14" s="2946">
        <f t="shared" si="6"/>
        <v>111</v>
      </c>
      <c r="R14" s="769" t="s">
        <v>17</v>
      </c>
      <c r="S14" s="770">
        <f t="shared" si="0"/>
        <v>100</v>
      </c>
      <c r="T14" s="769" t="s">
        <v>17</v>
      </c>
      <c r="U14" s="770">
        <f t="shared" si="1"/>
        <v>100</v>
      </c>
      <c r="V14" s="769" t="s">
        <v>17</v>
      </c>
      <c r="W14" s="770">
        <f t="shared" si="2"/>
        <v>100</v>
      </c>
      <c r="X14" s="771"/>
      <c r="Y14" s="3076"/>
      <c r="Z14" s="2947">
        <f t="shared" si="7"/>
        <v>111</v>
      </c>
      <c r="AA14" s="772">
        <f t="shared" si="3"/>
        <v>1</v>
      </c>
      <c r="AB14" s="772">
        <f t="shared" si="4"/>
        <v>1</v>
      </c>
      <c r="AC14" s="2667">
        <f t="shared" si="5"/>
        <v>1</v>
      </c>
    </row>
    <row r="15" spans="1:29" ht="114">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70" t="s">
        <v>2550</v>
      </c>
      <c r="Q15" s="2950" t="str">
        <f t="shared" si="6"/>
        <v>办公集聚程度</v>
      </c>
      <c r="R15" s="773" t="s">
        <v>17</v>
      </c>
      <c r="S15" s="774">
        <f t="shared" si="0"/>
        <v>100</v>
      </c>
      <c r="T15" s="773" t="s">
        <v>17</v>
      </c>
      <c r="U15" s="774">
        <f t="shared" si="1"/>
        <v>100</v>
      </c>
      <c r="V15" s="773" t="s">
        <v>17</v>
      </c>
      <c r="W15" s="774">
        <f t="shared" si="2"/>
        <v>100</v>
      </c>
      <c r="X15" s="2952"/>
      <c r="Y15" s="3263" t="s">
        <v>2550</v>
      </c>
      <c r="Z15" s="2953" t="str">
        <f t="shared" si="7"/>
        <v>办公集聚程度</v>
      </c>
      <c r="AA15" s="2951">
        <f t="shared" si="3"/>
        <v>1</v>
      </c>
      <c r="AB15" s="2951">
        <f t="shared" si="4"/>
        <v>1</v>
      </c>
      <c r="AC15" s="2670">
        <f t="shared" si="5"/>
        <v>1</v>
      </c>
    </row>
    <row r="16" spans="1:29" ht="15">
      <c r="A16" s="428"/>
      <c r="B16" s="630"/>
      <c r="C16" s="2607" t="s">
        <v>3098</v>
      </c>
      <c r="D16" s="448"/>
      <c r="E16" s="447" t="s">
        <v>3098</v>
      </c>
      <c r="F16" s="448"/>
      <c r="G16" s="2607" t="s">
        <v>3098</v>
      </c>
      <c r="H16" s="450"/>
      <c r="I16" s="447" t="s">
        <v>3098</v>
      </c>
      <c r="J16" s="448"/>
      <c r="K16" s="615"/>
      <c r="L16" s="1139"/>
      <c r="M16" s="1130"/>
      <c r="N16" s="1130"/>
      <c r="O16" s="1130"/>
      <c r="P16" s="3271"/>
      <c r="Q16" s="2950"/>
      <c r="R16" s="773"/>
      <c r="S16" s="774"/>
      <c r="T16" s="773"/>
      <c r="U16" s="774"/>
      <c r="V16" s="773"/>
      <c r="W16" s="774"/>
      <c r="X16" s="2952"/>
      <c r="Y16" s="3264"/>
      <c r="Z16" s="2953"/>
      <c r="AA16" s="2951">
        <v>1</v>
      </c>
      <c r="AB16" s="2951">
        <v>1</v>
      </c>
      <c r="AC16" s="2670">
        <v>1</v>
      </c>
    </row>
    <row r="17" spans="1:29" ht="228">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71"/>
      <c r="Q17" s="2950" t="str">
        <f>B17</f>
        <v>交通便捷度</v>
      </c>
      <c r="R17" s="773" t="s">
        <v>17</v>
      </c>
      <c r="S17" s="774">
        <f>F17</f>
        <v>100</v>
      </c>
      <c r="T17" s="773" t="s">
        <v>17</v>
      </c>
      <c r="U17" s="774">
        <f>H17</f>
        <v>100</v>
      </c>
      <c r="V17" s="773" t="s">
        <v>17</v>
      </c>
      <c r="W17" s="774">
        <f>J17</f>
        <v>100</v>
      </c>
      <c r="X17" s="2952"/>
      <c r="Y17" s="3264"/>
      <c r="Z17" s="2953" t="str">
        <f>Q17</f>
        <v>交通便捷度</v>
      </c>
      <c r="AA17" s="2951">
        <f t="shared" si="3"/>
        <v>1</v>
      </c>
      <c r="AB17" s="2951">
        <f t="shared" si="4"/>
        <v>1</v>
      </c>
      <c r="AC17" s="2670">
        <f t="shared" si="5"/>
        <v>1</v>
      </c>
    </row>
    <row r="18" spans="1:29" ht="15">
      <c r="A18" s="428"/>
      <c r="B18" s="632"/>
      <c r="C18" s="2672" t="s">
        <v>3098</v>
      </c>
      <c r="D18" s="450"/>
      <c r="E18" s="2672" t="s">
        <v>3098</v>
      </c>
      <c r="F18" s="450"/>
      <c r="G18" s="2672" t="s">
        <v>3098</v>
      </c>
      <c r="H18" s="448"/>
      <c r="I18" s="2672" t="s">
        <v>3098</v>
      </c>
      <c r="J18" s="448"/>
      <c r="K18" s="615"/>
      <c r="L18" s="1139"/>
      <c r="M18" s="1130"/>
      <c r="N18" s="1130"/>
      <c r="O18" s="1130"/>
      <c r="P18" s="3271"/>
      <c r="Q18" s="2950"/>
      <c r="R18" s="773"/>
      <c r="S18" s="774"/>
      <c r="T18" s="773"/>
      <c r="U18" s="774"/>
      <c r="V18" s="773"/>
      <c r="W18" s="774"/>
      <c r="X18" s="2952"/>
      <c r="Y18" s="3264"/>
      <c r="Z18" s="2953"/>
      <c r="AA18" s="2951">
        <v>1</v>
      </c>
      <c r="AB18" s="2951">
        <v>1</v>
      </c>
      <c r="AC18" s="2670">
        <v>1</v>
      </c>
    </row>
    <row r="19" spans="1:29" ht="228">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71"/>
      <c r="Q19" s="2950" t="str">
        <f>B19</f>
        <v>公共配套设施</v>
      </c>
      <c r="R19" s="773" t="s">
        <v>17</v>
      </c>
      <c r="S19" s="774">
        <f>F19</f>
        <v>100</v>
      </c>
      <c r="T19" s="773" t="s">
        <v>17</v>
      </c>
      <c r="U19" s="774">
        <f>H19</f>
        <v>100</v>
      </c>
      <c r="V19" s="773" t="s">
        <v>17</v>
      </c>
      <c r="W19" s="774">
        <f>J19</f>
        <v>100</v>
      </c>
      <c r="X19" s="2952"/>
      <c r="Y19" s="3264"/>
      <c r="Z19" s="2953" t="str">
        <f>Q19</f>
        <v>公共配套设施</v>
      </c>
      <c r="AA19" s="2951">
        <f t="shared" si="3"/>
        <v>1</v>
      </c>
      <c r="AB19" s="2951">
        <f t="shared" si="4"/>
        <v>1</v>
      </c>
      <c r="AC19" s="2670">
        <f t="shared" si="5"/>
        <v>1</v>
      </c>
    </row>
    <row r="20" spans="1:29" ht="15">
      <c r="A20" s="428"/>
      <c r="B20" s="632"/>
      <c r="C20" s="2607" t="s">
        <v>3098</v>
      </c>
      <c r="D20" s="448"/>
      <c r="E20" s="2607" t="s">
        <v>3098</v>
      </c>
      <c r="F20" s="448"/>
      <c r="G20" s="2607" t="s">
        <v>3098</v>
      </c>
      <c r="H20" s="448"/>
      <c r="I20" s="2607" t="s">
        <v>3098</v>
      </c>
      <c r="J20" s="448"/>
      <c r="K20" s="615"/>
      <c r="L20" s="1139"/>
      <c r="M20" s="1130"/>
      <c r="N20" s="1130"/>
      <c r="O20" s="1130"/>
      <c r="P20" s="3271"/>
      <c r="Q20" s="2950"/>
      <c r="R20" s="773"/>
      <c r="S20" s="774"/>
      <c r="T20" s="773"/>
      <c r="U20" s="774"/>
      <c r="V20" s="773"/>
      <c r="W20" s="774"/>
      <c r="X20" s="2952"/>
      <c r="Y20" s="3264"/>
      <c r="Z20" s="2953"/>
      <c r="AA20" s="2951">
        <v>1</v>
      </c>
      <c r="AB20" s="2951">
        <v>1</v>
      </c>
      <c r="AC20" s="2670">
        <v>1</v>
      </c>
    </row>
    <row r="21" spans="1:29" ht="28.5">
      <c r="A21" s="428"/>
      <c r="B21" s="633" t="s">
        <v>2679</v>
      </c>
      <c r="C21" s="2671"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71"/>
      <c r="Q21" s="2950" t="str">
        <f>B21</f>
        <v>基础设施水平</v>
      </c>
      <c r="R21" s="773" t="s">
        <v>17</v>
      </c>
      <c r="S21" s="774">
        <f>F21</f>
        <v>100</v>
      </c>
      <c r="T21" s="773" t="s">
        <v>17</v>
      </c>
      <c r="U21" s="774">
        <f>H21</f>
        <v>100</v>
      </c>
      <c r="V21" s="773" t="s">
        <v>17</v>
      </c>
      <c r="W21" s="774">
        <f>J21</f>
        <v>100</v>
      </c>
      <c r="X21" s="2952"/>
      <c r="Y21" s="3264"/>
      <c r="Z21" s="2953" t="str">
        <f>Q21</f>
        <v>基础设施水平</v>
      </c>
      <c r="AA21" s="2951">
        <f t="shared" ref="AA21" si="8">D21/F21</f>
        <v>1</v>
      </c>
      <c r="AB21" s="2951">
        <f t="shared" ref="AB21" si="9">D21/H21</f>
        <v>1</v>
      </c>
      <c r="AC21" s="2670">
        <f t="shared" ref="AC21" si="10">D21/J21</f>
        <v>1</v>
      </c>
    </row>
    <row r="22" spans="1:29" ht="15">
      <c r="A22" s="428"/>
      <c r="B22" s="633"/>
      <c r="C22" s="2672" t="s">
        <v>3131</v>
      </c>
      <c r="D22" s="448"/>
      <c r="E22" s="2672" t="s">
        <v>3131</v>
      </c>
      <c r="F22" s="448"/>
      <c r="G22" s="2672" t="s">
        <v>3131</v>
      </c>
      <c r="H22" s="448"/>
      <c r="I22" s="2672" t="s">
        <v>3131</v>
      </c>
      <c r="J22" s="448"/>
      <c r="K22" s="1381"/>
      <c r="L22" s="1139"/>
      <c r="M22" s="1130"/>
      <c r="N22" s="1130"/>
      <c r="O22" s="1130"/>
      <c r="P22" s="3271"/>
      <c r="Q22" s="2950"/>
      <c r="R22" s="773"/>
      <c r="S22" s="774"/>
      <c r="T22" s="773"/>
      <c r="U22" s="774"/>
      <c r="V22" s="773"/>
      <c r="W22" s="774"/>
      <c r="X22" s="2952"/>
      <c r="Y22" s="3264"/>
      <c r="Z22" s="2953"/>
      <c r="AA22" s="2951">
        <v>1</v>
      </c>
      <c r="AB22" s="2951">
        <v>1</v>
      </c>
      <c r="AC22" s="2670">
        <v>1</v>
      </c>
    </row>
    <row r="23" spans="1:29" ht="185.25">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71"/>
      <c r="Q23" s="2950" t="str">
        <f>B23</f>
        <v>环境质量</v>
      </c>
      <c r="R23" s="773" t="s">
        <v>17</v>
      </c>
      <c r="S23" s="774">
        <f>F23</f>
        <v>100</v>
      </c>
      <c r="T23" s="773" t="s">
        <v>17</v>
      </c>
      <c r="U23" s="774">
        <f>H23</f>
        <v>100</v>
      </c>
      <c r="V23" s="773" t="s">
        <v>17</v>
      </c>
      <c r="W23" s="774">
        <f>J23</f>
        <v>100</v>
      </c>
      <c r="X23" s="2952"/>
      <c r="Y23" s="3264"/>
      <c r="Z23" s="2953" t="str">
        <f>Q23</f>
        <v>环境质量</v>
      </c>
      <c r="AA23" s="2951">
        <f t="shared" si="3"/>
        <v>1</v>
      </c>
      <c r="AB23" s="2951">
        <f t="shared" si="4"/>
        <v>1</v>
      </c>
      <c r="AC23" s="2670">
        <f t="shared" si="5"/>
        <v>1</v>
      </c>
    </row>
    <row r="24" spans="1:29" ht="15">
      <c r="A24" s="428"/>
      <c r="B24" s="633"/>
      <c r="C24" s="2607" t="s">
        <v>3098</v>
      </c>
      <c r="D24" s="448"/>
      <c r="E24" s="2607" t="s">
        <v>3098</v>
      </c>
      <c r="F24" s="448"/>
      <c r="G24" s="2607" t="s">
        <v>3098</v>
      </c>
      <c r="H24" s="448"/>
      <c r="I24" s="2607" t="s">
        <v>3098</v>
      </c>
      <c r="J24" s="448"/>
      <c r="K24" s="615"/>
      <c r="L24" s="1139"/>
      <c r="M24" s="1130"/>
      <c r="N24" s="1130"/>
      <c r="O24" s="1130"/>
      <c r="P24" s="3271"/>
      <c r="Q24" s="2950"/>
      <c r="R24" s="773"/>
      <c r="S24" s="774"/>
      <c r="T24" s="773"/>
      <c r="U24" s="774"/>
      <c r="V24" s="773"/>
      <c r="W24" s="774"/>
      <c r="X24" s="2952"/>
      <c r="Y24" s="3264"/>
      <c r="Z24" s="2953"/>
      <c r="AA24" s="2951">
        <v>1</v>
      </c>
      <c r="AB24" s="2951">
        <v>1</v>
      </c>
      <c r="AC24" s="2670">
        <v>1</v>
      </c>
    </row>
    <row r="25" spans="1:29" ht="27">
      <c r="A25" s="404"/>
      <c r="B25" s="631" t="s">
        <v>2681</v>
      </c>
      <c r="C25" s="2970" t="s">
        <v>3140</v>
      </c>
      <c r="D25" s="435">
        <v>100</v>
      </c>
      <c r="E25" s="2970" t="s">
        <v>3170</v>
      </c>
      <c r="F25" s="435">
        <f>SUMIF(87:87,E26,88:88)-SUMIF(87:87,C26,88:88)+100</f>
        <v>96</v>
      </c>
      <c r="G25" s="3002" t="s">
        <v>3140</v>
      </c>
      <c r="H25" s="435">
        <f>SUMIF(87:87,G26,88:88)-SUMIF(87:87,C26,88:88)+100</f>
        <v>100</v>
      </c>
      <c r="I25" s="2970" t="s">
        <v>3146</v>
      </c>
      <c r="J25" s="435">
        <f>SUMIF(87:87,I26,88:88)-SUMIF(87:87,C26,88:88)+100</f>
        <v>96</v>
      </c>
      <c r="K25" s="614">
        <v>2</v>
      </c>
      <c r="L25" s="1139"/>
      <c r="M25" s="1130"/>
      <c r="N25" s="1130"/>
      <c r="O25" s="1130"/>
      <c r="P25" s="3271"/>
      <c r="Q25" s="2950" t="str">
        <f>B25</f>
        <v>毗邻道路的类型与等级</v>
      </c>
      <c r="R25" s="773" t="s">
        <v>17</v>
      </c>
      <c r="S25" s="774">
        <f>F25</f>
        <v>96</v>
      </c>
      <c r="T25" s="773" t="s">
        <v>17</v>
      </c>
      <c r="U25" s="774">
        <f>H25</f>
        <v>100</v>
      </c>
      <c r="V25" s="773" t="s">
        <v>17</v>
      </c>
      <c r="W25" s="774">
        <f>J25</f>
        <v>96</v>
      </c>
      <c r="X25" s="2952"/>
      <c r="Y25" s="3264"/>
      <c r="Z25" s="2953" t="str">
        <f>Q25</f>
        <v>毗邻道路的类型与等级</v>
      </c>
      <c r="AA25" s="2951">
        <f t="shared" si="3"/>
        <v>1.0416666666666667</v>
      </c>
      <c r="AB25" s="2951">
        <f t="shared" si="4"/>
        <v>1</v>
      </c>
      <c r="AC25" s="2670">
        <f t="shared" si="5"/>
        <v>1.0416666666666667</v>
      </c>
    </row>
    <row r="26" spans="1:29" ht="15">
      <c r="A26" s="404"/>
      <c r="B26" s="632"/>
      <c r="C26" s="634" t="s">
        <v>3106</v>
      </c>
      <c r="D26" s="435"/>
      <c r="E26" s="616" t="s">
        <v>3109</v>
      </c>
      <c r="F26" s="435"/>
      <c r="G26" s="634" t="s">
        <v>3106</v>
      </c>
      <c r="H26" s="435"/>
      <c r="I26" s="616" t="s">
        <v>3109</v>
      </c>
      <c r="J26" s="435"/>
      <c r="K26" s="615"/>
      <c r="L26" s="1139"/>
      <c r="M26" s="1130"/>
      <c r="N26" s="1130"/>
      <c r="O26" s="1130"/>
      <c r="P26" s="3271"/>
      <c r="Q26" s="2950"/>
      <c r="R26" s="773"/>
      <c r="S26" s="774"/>
      <c r="T26" s="773"/>
      <c r="U26" s="774"/>
      <c r="V26" s="773"/>
      <c r="W26" s="774"/>
      <c r="X26" s="2952"/>
      <c r="Y26" s="3264"/>
      <c r="Z26" s="2953"/>
      <c r="AA26" s="2951">
        <v>1</v>
      </c>
      <c r="AB26" s="2951">
        <v>1</v>
      </c>
      <c r="AC26" s="2670">
        <v>1</v>
      </c>
    </row>
    <row r="27" spans="1:29" ht="15">
      <c r="A27" s="428"/>
      <c r="B27" s="632" t="s">
        <v>2649</v>
      </c>
      <c r="C27" s="634" t="s">
        <v>3083</v>
      </c>
      <c r="D27" s="435">
        <v>100</v>
      </c>
      <c r="E27" s="616" t="s">
        <v>3114</v>
      </c>
      <c r="F27" s="435">
        <f>SUMIF(89:89,E27,90:90)-SUMIF(89:89,C27,90:90)+100</f>
        <v>103</v>
      </c>
      <c r="G27" s="634" t="s">
        <v>3083</v>
      </c>
      <c r="H27" s="435">
        <f>SUMIF(89:89,G27,90:90)-SUMIF(89:89,C27,90:90)+100</f>
        <v>100</v>
      </c>
      <c r="I27" s="616" t="s">
        <v>3083</v>
      </c>
      <c r="J27" s="435">
        <f>SUMIF(89:89,I27,90:90)-SUMIF(89:89,C27,90:90)+100</f>
        <v>100</v>
      </c>
      <c r="K27" s="612">
        <v>3</v>
      </c>
      <c r="L27" s="1139"/>
      <c r="M27" s="1130"/>
      <c r="N27" s="1130"/>
      <c r="O27" s="1130"/>
      <c r="P27" s="3271"/>
      <c r="Q27" s="2950" t="str">
        <f t="shared" ref="Q27:Q47" si="11">B27</f>
        <v>楼层</v>
      </c>
      <c r="R27" s="773" t="s">
        <v>17</v>
      </c>
      <c r="S27" s="774">
        <f>F27</f>
        <v>103</v>
      </c>
      <c r="T27" s="773" t="s">
        <v>17</v>
      </c>
      <c r="U27" s="774">
        <f>H27</f>
        <v>100</v>
      </c>
      <c r="V27" s="773" t="s">
        <v>17</v>
      </c>
      <c r="W27" s="774">
        <f>J27</f>
        <v>100</v>
      </c>
      <c r="X27" s="2952"/>
      <c r="Y27" s="3264"/>
      <c r="Z27" s="2953" t="str">
        <f>Q27</f>
        <v>楼层</v>
      </c>
      <c r="AA27" s="2951">
        <f t="shared" si="3"/>
        <v>0.970873786407767</v>
      </c>
      <c r="AB27" s="295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71"/>
      <c r="Q28" s="2946" t="str">
        <f t="shared" si="11"/>
        <v>朝向</v>
      </c>
      <c r="R28" s="769" t="s">
        <v>17</v>
      </c>
      <c r="S28" s="770">
        <f>F28</f>
        <v>100</v>
      </c>
      <c r="T28" s="769" t="s">
        <v>17</v>
      </c>
      <c r="U28" s="770">
        <f>H28</f>
        <v>100</v>
      </c>
      <c r="V28" s="769" t="s">
        <v>17</v>
      </c>
      <c r="W28" s="770">
        <f>J28</f>
        <v>100</v>
      </c>
      <c r="X28" s="771"/>
      <c r="Y28" s="3264"/>
      <c r="Z28" s="2947" t="str">
        <f>Q28</f>
        <v>朝向</v>
      </c>
      <c r="AA28" s="2951">
        <f>D28/F28</f>
        <v>1</v>
      </c>
      <c r="AB28" s="295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71"/>
      <c r="Q29" s="2950">
        <f t="shared" si="11"/>
        <v>111</v>
      </c>
      <c r="R29" s="773" t="s">
        <v>17</v>
      </c>
      <c r="S29" s="774">
        <f t="shared" ref="S29:S47" si="12">F29</f>
        <v>100</v>
      </c>
      <c r="T29" s="773" t="s">
        <v>17</v>
      </c>
      <c r="U29" s="774">
        <f t="shared" ref="U29:U47" si="13">H29</f>
        <v>100</v>
      </c>
      <c r="V29" s="773" t="s">
        <v>17</v>
      </c>
      <c r="W29" s="774">
        <f t="shared" ref="W29:W47" si="14">J29</f>
        <v>100</v>
      </c>
      <c r="X29" s="2952"/>
      <c r="Y29" s="3264"/>
      <c r="Z29" s="2953">
        <f t="shared" ref="Z29:Z47" si="15">Q29</f>
        <v>111</v>
      </c>
      <c r="AA29" s="2951">
        <f t="shared" si="3"/>
        <v>1</v>
      </c>
      <c r="AB29" s="295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71"/>
      <c r="Q30" s="2950">
        <f t="shared" si="11"/>
        <v>111</v>
      </c>
      <c r="R30" s="773" t="s">
        <v>17</v>
      </c>
      <c r="S30" s="774">
        <f t="shared" si="12"/>
        <v>100</v>
      </c>
      <c r="T30" s="773" t="s">
        <v>17</v>
      </c>
      <c r="U30" s="774">
        <f t="shared" si="13"/>
        <v>100</v>
      </c>
      <c r="V30" s="773" t="s">
        <v>17</v>
      </c>
      <c r="W30" s="774">
        <f t="shared" si="14"/>
        <v>100</v>
      </c>
      <c r="X30" s="2952"/>
      <c r="Y30" s="3264"/>
      <c r="Z30" s="2953">
        <f t="shared" si="15"/>
        <v>111</v>
      </c>
      <c r="AA30" s="2951">
        <f t="shared" si="3"/>
        <v>1</v>
      </c>
      <c r="AB30" s="295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71"/>
      <c r="Q31" s="2950">
        <f t="shared" si="11"/>
        <v>111</v>
      </c>
      <c r="R31" s="773" t="s">
        <v>17</v>
      </c>
      <c r="S31" s="774">
        <f t="shared" si="12"/>
        <v>100</v>
      </c>
      <c r="T31" s="773" t="s">
        <v>17</v>
      </c>
      <c r="U31" s="774">
        <f t="shared" si="13"/>
        <v>100</v>
      </c>
      <c r="V31" s="773" t="s">
        <v>17</v>
      </c>
      <c r="W31" s="774">
        <f t="shared" si="14"/>
        <v>100</v>
      </c>
      <c r="X31" s="2952"/>
      <c r="Y31" s="3264"/>
      <c r="Z31" s="2953">
        <f t="shared" si="15"/>
        <v>111</v>
      </c>
      <c r="AA31" s="2951">
        <f t="shared" si="3"/>
        <v>1</v>
      </c>
      <c r="AB31" s="295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71"/>
      <c r="Q32" s="2950">
        <f t="shared" si="11"/>
        <v>111</v>
      </c>
      <c r="R32" s="773" t="s">
        <v>17</v>
      </c>
      <c r="S32" s="774">
        <f t="shared" si="12"/>
        <v>100</v>
      </c>
      <c r="T32" s="773" t="s">
        <v>17</v>
      </c>
      <c r="U32" s="774">
        <f t="shared" si="13"/>
        <v>100</v>
      </c>
      <c r="V32" s="773" t="s">
        <v>17</v>
      </c>
      <c r="W32" s="774">
        <f t="shared" si="14"/>
        <v>100</v>
      </c>
      <c r="X32" s="2952"/>
      <c r="Y32" s="3264"/>
      <c r="Z32" s="2953">
        <f t="shared" si="15"/>
        <v>111</v>
      </c>
      <c r="AA32" s="2951">
        <f t="shared" si="3"/>
        <v>1</v>
      </c>
      <c r="AB32" s="2951">
        <f t="shared" si="4"/>
        <v>1</v>
      </c>
      <c r="AC32" s="2670">
        <f t="shared" si="5"/>
        <v>1</v>
      </c>
    </row>
    <row r="33" spans="1:29" ht="15">
      <c r="A33" s="440" t="s">
        <v>2553</v>
      </c>
      <c r="B33" s="71" t="s">
        <v>2683</v>
      </c>
      <c r="C33" s="2675" t="s">
        <v>3117</v>
      </c>
      <c r="D33" s="467">
        <v>100</v>
      </c>
      <c r="E33" s="2675" t="s">
        <v>3117</v>
      </c>
      <c r="F33" s="461">
        <f>SUMIF(101:101,E33,102:102)-SUMIF(101:101,C33,102:102)+100</f>
        <v>100</v>
      </c>
      <c r="G33" s="2675" t="s">
        <v>3117</v>
      </c>
      <c r="H33" s="435">
        <f>SUMIF(101:101,G33,102:102)-SUMIF(101:101,C33,102:102)+100</f>
        <v>100</v>
      </c>
      <c r="I33" s="2675" t="s">
        <v>3117</v>
      </c>
      <c r="J33" s="467">
        <f>SUMIF(101:101,I33,102:102)-SUMIF(101:101,C33,102:102)+100</f>
        <v>100</v>
      </c>
      <c r="K33" s="612">
        <v>2</v>
      </c>
      <c r="L33" s="1139"/>
      <c r="M33" s="1130"/>
      <c r="N33" s="1130"/>
      <c r="O33" s="1130"/>
      <c r="P33" s="3265" t="s">
        <v>2555</v>
      </c>
      <c r="Q33" s="2950" t="str">
        <f t="shared" si="11"/>
        <v>建筑类型</v>
      </c>
      <c r="R33" s="773" t="s">
        <v>17</v>
      </c>
      <c r="S33" s="774">
        <f t="shared" si="12"/>
        <v>100</v>
      </c>
      <c r="T33" s="773" t="s">
        <v>17</v>
      </c>
      <c r="U33" s="774">
        <f t="shared" si="13"/>
        <v>100</v>
      </c>
      <c r="V33" s="773" t="s">
        <v>17</v>
      </c>
      <c r="W33" s="774">
        <f t="shared" si="14"/>
        <v>100</v>
      </c>
      <c r="X33" s="2952"/>
      <c r="Y33" s="3268" t="s">
        <v>2555</v>
      </c>
      <c r="Z33" s="2953" t="str">
        <f t="shared" si="15"/>
        <v>建筑类型</v>
      </c>
      <c r="AA33" s="2951">
        <f t="shared" si="3"/>
        <v>1</v>
      </c>
      <c r="AB33" s="2951">
        <f t="shared" si="4"/>
        <v>1</v>
      </c>
      <c r="AC33" s="2670">
        <f t="shared" si="5"/>
        <v>1</v>
      </c>
    </row>
    <row r="34" spans="1:29" s="471" customFormat="1" ht="15">
      <c r="A34" s="468"/>
      <c r="B34" s="2948" t="s">
        <v>2556</v>
      </c>
      <c r="C34" s="469">
        <f>'数据-汇总表'!F19</f>
        <v>78.53</v>
      </c>
      <c r="D34" s="136">
        <v>100</v>
      </c>
      <c r="E34" s="430">
        <v>215</v>
      </c>
      <c r="F34" s="425">
        <f>LOOKUP(E34,104:104,105:105)-LOOKUP(C34,104:104,105:105)+100</f>
        <v>102</v>
      </c>
      <c r="G34" s="429">
        <v>330</v>
      </c>
      <c r="H34" s="136">
        <f>LOOKUP(G34,104:104,105:105)-LOOKUP(C34,104:104,105:105)+100</f>
        <v>104</v>
      </c>
      <c r="I34" s="429">
        <v>225</v>
      </c>
      <c r="J34" s="136">
        <f>LOOKUP(I34,104:104,105:105)-LOOKUP(C34,104:104,105:105)+100</f>
        <v>102</v>
      </c>
      <c r="K34" s="613"/>
      <c r="L34" s="1137"/>
      <c r="M34" s="1140"/>
      <c r="N34" s="1140"/>
      <c r="O34" s="1140"/>
      <c r="P34" s="3266"/>
      <c r="Q34" s="775" t="str">
        <f t="shared" si="11"/>
        <v>项目建筑规模</v>
      </c>
      <c r="R34" s="776" t="s">
        <v>17</v>
      </c>
      <c r="S34" s="777">
        <f t="shared" si="12"/>
        <v>102</v>
      </c>
      <c r="T34" s="776" t="s">
        <v>17</v>
      </c>
      <c r="U34" s="777">
        <f t="shared" si="13"/>
        <v>104</v>
      </c>
      <c r="V34" s="776" t="s">
        <v>17</v>
      </c>
      <c r="W34" s="777">
        <f t="shared" si="14"/>
        <v>102</v>
      </c>
      <c r="X34" s="778"/>
      <c r="Y34" s="3268"/>
      <c r="Z34" s="779" t="str">
        <f t="shared" si="15"/>
        <v>项目建筑规模</v>
      </c>
      <c r="AA34" s="2951">
        <f t="shared" si="3"/>
        <v>0.98039215686274506</v>
      </c>
      <c r="AB34" s="2951">
        <f t="shared" si="4"/>
        <v>0.96153846153846156</v>
      </c>
      <c r="AC34" s="2670">
        <f t="shared" si="5"/>
        <v>0.98039215686274506</v>
      </c>
    </row>
    <row r="35" spans="1:29" ht="15">
      <c r="A35" s="472"/>
      <c r="B35" s="2948" t="s">
        <v>2557</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2</v>
      </c>
      <c r="L35" s="1139"/>
      <c r="M35" s="1130"/>
      <c r="N35" s="1130"/>
      <c r="O35" s="1130"/>
      <c r="P35" s="3266"/>
      <c r="Q35" s="2950" t="str">
        <f t="shared" si="11"/>
        <v>建筑结构</v>
      </c>
      <c r="R35" s="773" t="s">
        <v>17</v>
      </c>
      <c r="S35" s="774">
        <f t="shared" si="12"/>
        <v>100</v>
      </c>
      <c r="T35" s="773" t="s">
        <v>17</v>
      </c>
      <c r="U35" s="774">
        <f t="shared" si="13"/>
        <v>100</v>
      </c>
      <c r="V35" s="773" t="s">
        <v>17</v>
      </c>
      <c r="W35" s="774">
        <f t="shared" si="14"/>
        <v>100</v>
      </c>
      <c r="X35" s="2952"/>
      <c r="Y35" s="3268"/>
      <c r="Z35" s="2953" t="str">
        <f t="shared" si="15"/>
        <v>建筑结构</v>
      </c>
      <c r="AA35" s="2951">
        <f t="shared" si="3"/>
        <v>1</v>
      </c>
      <c r="AB35" s="2951">
        <f t="shared" si="4"/>
        <v>1</v>
      </c>
      <c r="AC35" s="2670">
        <f t="shared" si="5"/>
        <v>1</v>
      </c>
    </row>
    <row r="36" spans="1:29" ht="15">
      <c r="A36" s="472"/>
      <c r="B36" s="2948" t="s">
        <v>2651</v>
      </c>
      <c r="C36" s="460" t="s">
        <v>3121</v>
      </c>
      <c r="D36" s="435">
        <v>100</v>
      </c>
      <c r="E36" s="460" t="s">
        <v>3121</v>
      </c>
      <c r="F36" s="461">
        <f>SUMIF(108:108,E36,109:109)-SUMIF(108:108,C36,109:109)+100</f>
        <v>100</v>
      </c>
      <c r="G36" s="460" t="s">
        <v>3121</v>
      </c>
      <c r="H36" s="435">
        <f>SUMIF(108:108,G36,109:109)-SUMIF(108:108,C36,109:109)+100</f>
        <v>100</v>
      </c>
      <c r="I36" s="460" t="s">
        <v>3121</v>
      </c>
      <c r="J36" s="435">
        <f>SUMIF(108:108,I36,109:109)-SUMIF(108:108,C36,109:109)+100</f>
        <v>100</v>
      </c>
      <c r="K36" s="612">
        <v>2</v>
      </c>
      <c r="L36" s="1139"/>
      <c r="M36" s="1130"/>
      <c r="N36" s="1130"/>
      <c r="O36" s="1130"/>
      <c r="P36" s="3266"/>
      <c r="Q36" s="2950" t="str">
        <f t="shared" si="11"/>
        <v>公共部分装修</v>
      </c>
      <c r="R36" s="773" t="s">
        <v>17</v>
      </c>
      <c r="S36" s="774">
        <f t="shared" si="12"/>
        <v>100</v>
      </c>
      <c r="T36" s="773" t="s">
        <v>17</v>
      </c>
      <c r="U36" s="774">
        <f t="shared" si="13"/>
        <v>100</v>
      </c>
      <c r="V36" s="773" t="s">
        <v>17</v>
      </c>
      <c r="W36" s="774">
        <f t="shared" si="14"/>
        <v>100</v>
      </c>
      <c r="X36" s="2952"/>
      <c r="Y36" s="3268"/>
      <c r="Z36" s="2953" t="str">
        <f t="shared" si="15"/>
        <v>公共部分装修</v>
      </c>
      <c r="AA36" s="2951">
        <f t="shared" si="3"/>
        <v>1</v>
      </c>
      <c r="AB36" s="2951">
        <f t="shared" si="4"/>
        <v>1</v>
      </c>
      <c r="AC36" s="2670">
        <f t="shared" si="5"/>
        <v>1</v>
      </c>
    </row>
    <row r="37" spans="1:29" ht="15">
      <c r="A37" s="472"/>
      <c r="B37" s="2948" t="s">
        <v>2652</v>
      </c>
      <c r="C37" s="474">
        <f>'数据-取费表'!N6</f>
        <v>0.88</v>
      </c>
      <c r="D37" s="435">
        <v>100</v>
      </c>
      <c r="E37" s="474">
        <v>0.92</v>
      </c>
      <c r="F37" s="461">
        <f>LOOKUP(E37,111:111,112:112)-LOOKUP(C37,111:111,112:112)+100</f>
        <v>101</v>
      </c>
      <c r="G37" s="474">
        <v>0.95</v>
      </c>
      <c r="H37" s="461">
        <f>LOOKUP(G37,111:111,112:112)-LOOKUP(C37,111:111,112:112)+100</f>
        <v>101</v>
      </c>
      <c r="I37" s="474">
        <v>0.95</v>
      </c>
      <c r="J37" s="435">
        <f>LOOKUP(I37,111:111,112:112)-LOOKUP(C37,111:111,112:112)+100</f>
        <v>101</v>
      </c>
      <c r="K37" s="612">
        <v>1</v>
      </c>
      <c r="L37" s="1139"/>
      <c r="M37" s="1130">
        <v>2012</v>
      </c>
      <c r="N37" s="1130"/>
      <c r="O37" s="1130"/>
      <c r="P37" s="3266"/>
      <c r="Q37" s="2950" t="str">
        <f t="shared" si="11"/>
        <v>成新度</v>
      </c>
      <c r="R37" s="773" t="s">
        <v>17</v>
      </c>
      <c r="S37" s="774">
        <f t="shared" si="12"/>
        <v>101</v>
      </c>
      <c r="T37" s="773" t="s">
        <v>17</v>
      </c>
      <c r="U37" s="774">
        <f t="shared" si="13"/>
        <v>101</v>
      </c>
      <c r="V37" s="773" t="s">
        <v>17</v>
      </c>
      <c r="W37" s="774">
        <f t="shared" si="14"/>
        <v>101</v>
      </c>
      <c r="X37" s="2952"/>
      <c r="Y37" s="3268"/>
      <c r="Z37" s="2953" t="str">
        <f t="shared" si="15"/>
        <v>成新度</v>
      </c>
      <c r="AA37" s="2951">
        <f t="shared" si="3"/>
        <v>0.99009900990099009</v>
      </c>
      <c r="AB37" s="2951">
        <f t="shared" si="4"/>
        <v>0.99009900990099009</v>
      </c>
      <c r="AC37" s="2670">
        <f t="shared" si="5"/>
        <v>0.99009900990099009</v>
      </c>
    </row>
    <row r="38" spans="1:29" s="117" customFormat="1" ht="15">
      <c r="A38" s="473"/>
      <c r="B38" s="2948" t="s">
        <v>2684</v>
      </c>
      <c r="C38" s="460" t="s">
        <v>3126</v>
      </c>
      <c r="D38" s="136">
        <v>100</v>
      </c>
      <c r="E38" s="460" t="s">
        <v>3126</v>
      </c>
      <c r="F38" s="461">
        <f>SUMIF(113:113,E38,114:114)-SUMIF(113:113,C38,114:114)+100</f>
        <v>100</v>
      </c>
      <c r="G38" s="460" t="s">
        <v>3126</v>
      </c>
      <c r="H38" s="435">
        <f>SUMIF(113:113,G38,114:114)-SUMIF(113:113,C38,114:114)+100</f>
        <v>100</v>
      </c>
      <c r="I38" s="460" t="s">
        <v>3126</v>
      </c>
      <c r="J38" s="435">
        <f>SUMIF(113:113,I38,114:114)-SUMIF(113:113,C38,114:114)+100</f>
        <v>100</v>
      </c>
      <c r="K38" s="612">
        <v>5</v>
      </c>
      <c r="L38" s="1131"/>
      <c r="M38" s="1132">
        <v>2016</v>
      </c>
      <c r="N38" s="1132">
        <f>1-(2019-2016)/60</f>
        <v>0.95</v>
      </c>
      <c r="O38" s="1132"/>
      <c r="P38" s="3266"/>
      <c r="Q38" s="2946" t="str">
        <f t="shared" si="11"/>
        <v>写字楼等级</v>
      </c>
      <c r="R38" s="769" t="s">
        <v>17</v>
      </c>
      <c r="S38" s="770">
        <f t="shared" si="12"/>
        <v>100</v>
      </c>
      <c r="T38" s="769" t="s">
        <v>17</v>
      </c>
      <c r="U38" s="770">
        <f t="shared" si="13"/>
        <v>100</v>
      </c>
      <c r="V38" s="769" t="s">
        <v>17</v>
      </c>
      <c r="W38" s="770">
        <f t="shared" si="14"/>
        <v>100</v>
      </c>
      <c r="X38" s="771"/>
      <c r="Y38" s="3268"/>
      <c r="Z38" s="2947" t="str">
        <f t="shared" si="15"/>
        <v>写字楼等级</v>
      </c>
      <c r="AA38" s="772">
        <f t="shared" si="3"/>
        <v>1</v>
      </c>
      <c r="AB38" s="772">
        <f t="shared" si="4"/>
        <v>1</v>
      </c>
      <c r="AC38" s="2667">
        <f t="shared" si="5"/>
        <v>1</v>
      </c>
    </row>
    <row r="39" spans="1:29" ht="15">
      <c r="A39" s="472"/>
      <c r="B39" s="2948" t="s">
        <v>2685</v>
      </c>
      <c r="C39" s="460" t="s">
        <v>3129</v>
      </c>
      <c r="D39" s="435">
        <v>100</v>
      </c>
      <c r="E39" s="460" t="s">
        <v>3129</v>
      </c>
      <c r="F39" s="461">
        <f>SUMIF(115:115,E39,116:116)-SUMIF(115:115,C39,116:116)+100</f>
        <v>100</v>
      </c>
      <c r="G39" s="460" t="s">
        <v>3129</v>
      </c>
      <c r="H39" s="435">
        <f>SUMIF(115:115,G39,116:116)-SUMIF(115:115,C39,116:116)+100</f>
        <v>100</v>
      </c>
      <c r="I39" s="460" t="s">
        <v>3129</v>
      </c>
      <c r="J39" s="435">
        <f>SUMIF(115:115,I39,116:116)-SUMIF(115:115,C39,116:116)+100</f>
        <v>100</v>
      </c>
      <c r="K39" s="612">
        <v>2</v>
      </c>
      <c r="L39" s="1139"/>
      <c r="M39" s="1130">
        <v>2016</v>
      </c>
      <c r="N39" s="1130"/>
      <c r="O39" s="1130"/>
      <c r="P39" s="3266" t="s">
        <v>2555</v>
      </c>
      <c r="Q39" s="2950" t="str">
        <f t="shared" si="11"/>
        <v>物业管理</v>
      </c>
      <c r="R39" s="773" t="s">
        <v>17</v>
      </c>
      <c r="S39" s="774">
        <f t="shared" si="12"/>
        <v>100</v>
      </c>
      <c r="T39" s="773" t="s">
        <v>17</v>
      </c>
      <c r="U39" s="774">
        <f t="shared" si="13"/>
        <v>100</v>
      </c>
      <c r="V39" s="773" t="s">
        <v>17</v>
      </c>
      <c r="W39" s="774">
        <f t="shared" si="14"/>
        <v>100</v>
      </c>
      <c r="X39" s="2952"/>
      <c r="Y39" s="3268" t="s">
        <v>2555</v>
      </c>
      <c r="Z39" s="2953" t="str">
        <f t="shared" si="15"/>
        <v>物业管理</v>
      </c>
      <c r="AA39" s="2951">
        <f t="shared" si="3"/>
        <v>1</v>
      </c>
      <c r="AB39" s="2951">
        <f t="shared" si="4"/>
        <v>1</v>
      </c>
      <c r="AC39" s="2670">
        <f t="shared" si="5"/>
        <v>1</v>
      </c>
    </row>
    <row r="40" spans="1:29" ht="15">
      <c r="A40" s="472"/>
      <c r="B40" s="2948" t="s">
        <v>2653</v>
      </c>
      <c r="C40" s="460" t="s">
        <v>3133</v>
      </c>
      <c r="D40" s="435">
        <v>100</v>
      </c>
      <c r="E40" s="460" t="s">
        <v>3133</v>
      </c>
      <c r="F40" s="461">
        <f>SUMIF(117:117,E40,118:118)-SUMIF(117:117,C40,118:118)+100</f>
        <v>100</v>
      </c>
      <c r="G40" s="460" t="s">
        <v>3133</v>
      </c>
      <c r="H40" s="435">
        <f>SUMIF(117:117,G40,118:118)-SUMIF(117:117,C40,118:118)+100</f>
        <v>100</v>
      </c>
      <c r="I40" s="460" t="s">
        <v>3133</v>
      </c>
      <c r="J40" s="435">
        <f>SUMIF(117:117,I40,118:118)-SUMIF(117:117,C40,118:118)+100</f>
        <v>100</v>
      </c>
      <c r="K40" s="612">
        <v>2</v>
      </c>
      <c r="L40" s="1139"/>
      <c r="M40" s="1130"/>
      <c r="N40" s="1130"/>
      <c r="O40" s="1130"/>
      <c r="P40" s="3266"/>
      <c r="Q40" s="2950" t="str">
        <f t="shared" si="11"/>
        <v>市政基础设施</v>
      </c>
      <c r="R40" s="773" t="s">
        <v>17</v>
      </c>
      <c r="S40" s="774">
        <f t="shared" si="12"/>
        <v>100</v>
      </c>
      <c r="T40" s="773" t="s">
        <v>17</v>
      </c>
      <c r="U40" s="774">
        <f t="shared" si="13"/>
        <v>100</v>
      </c>
      <c r="V40" s="773" t="s">
        <v>17</v>
      </c>
      <c r="W40" s="774">
        <f t="shared" si="14"/>
        <v>100</v>
      </c>
      <c r="X40" s="2952"/>
      <c r="Y40" s="3268"/>
      <c r="Z40" s="2953" t="str">
        <f t="shared" si="15"/>
        <v>市政基础设施</v>
      </c>
      <c r="AA40" s="2951">
        <f t="shared" si="3"/>
        <v>1</v>
      </c>
      <c r="AB40" s="2951">
        <f t="shared" si="4"/>
        <v>1</v>
      </c>
      <c r="AC40" s="2670">
        <f t="shared" si="5"/>
        <v>1</v>
      </c>
    </row>
    <row r="41" spans="1:29" ht="15">
      <c r="A41" s="472"/>
      <c r="B41" s="2948" t="s">
        <v>2655</v>
      </c>
      <c r="C41" s="616" t="s">
        <v>3138</v>
      </c>
      <c r="D41" s="435">
        <v>100</v>
      </c>
      <c r="E41" s="616" t="s">
        <v>3138</v>
      </c>
      <c r="F41" s="461">
        <f>SUMIF(119:119,E41,120:120)-SUMIF(119:119,C41,120:120)+100</f>
        <v>100</v>
      </c>
      <c r="G41" s="616" t="s">
        <v>3138</v>
      </c>
      <c r="H41" s="435">
        <f>SUMIF(119:119,G41,120:120)-SUMIF(119:119,C41,120:120)+100</f>
        <v>100</v>
      </c>
      <c r="I41" s="616" t="s">
        <v>3138</v>
      </c>
      <c r="J41" s="435">
        <f>SUMIF(119:119,I41,120:120)-SUMIF(119:119,C41,120:120)+100</f>
        <v>100</v>
      </c>
      <c r="K41" s="612">
        <v>2</v>
      </c>
      <c r="L41" s="1139"/>
      <c r="M41" s="1130"/>
      <c r="N41" s="1130"/>
      <c r="O41" s="1130"/>
      <c r="P41" s="3266"/>
      <c r="Q41" s="2950" t="str">
        <f t="shared" si="11"/>
        <v>层高</v>
      </c>
      <c r="R41" s="773" t="s">
        <v>17</v>
      </c>
      <c r="S41" s="774">
        <f t="shared" si="12"/>
        <v>100</v>
      </c>
      <c r="T41" s="773" t="s">
        <v>17</v>
      </c>
      <c r="U41" s="774">
        <f t="shared" si="13"/>
        <v>100</v>
      </c>
      <c r="V41" s="773" t="s">
        <v>17</v>
      </c>
      <c r="W41" s="774">
        <f t="shared" si="14"/>
        <v>100</v>
      </c>
      <c r="X41" s="2952"/>
      <c r="Y41" s="3268"/>
      <c r="Z41" s="2953" t="str">
        <f t="shared" si="15"/>
        <v>层高</v>
      </c>
      <c r="AA41" s="2951">
        <f t="shared" si="3"/>
        <v>1</v>
      </c>
      <c r="AB41" s="2951">
        <f t="shared" si="4"/>
        <v>1</v>
      </c>
      <c r="AC41" s="2670">
        <f t="shared" si="5"/>
        <v>1</v>
      </c>
    </row>
    <row r="42" spans="1:29" s="471" customFormat="1" ht="15">
      <c r="A42" s="468"/>
      <c r="B42" s="2949"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6"/>
      <c r="Q42" s="775" t="str">
        <f t="shared" si="11"/>
        <v>单套建筑面积</v>
      </c>
      <c r="R42" s="776" t="s">
        <v>17</v>
      </c>
      <c r="S42" s="777">
        <f t="shared" si="12"/>
        <v>100</v>
      </c>
      <c r="T42" s="776" t="s">
        <v>17</v>
      </c>
      <c r="U42" s="777">
        <f t="shared" si="13"/>
        <v>100</v>
      </c>
      <c r="V42" s="776" t="s">
        <v>17</v>
      </c>
      <c r="W42" s="777">
        <f t="shared" si="14"/>
        <v>100</v>
      </c>
      <c r="X42" s="778"/>
      <c r="Y42" s="3268"/>
      <c r="Z42" s="779" t="str">
        <f t="shared" si="15"/>
        <v>单套建筑面积</v>
      </c>
      <c r="AA42" s="2951">
        <f t="shared" si="3"/>
        <v>1</v>
      </c>
      <c r="AB42" s="2951">
        <f t="shared" si="4"/>
        <v>1</v>
      </c>
      <c r="AC42" s="2670">
        <f t="shared" si="5"/>
        <v>1</v>
      </c>
    </row>
    <row r="43" spans="1:29" ht="15">
      <c r="A43" s="472"/>
      <c r="B43" s="2948" t="s">
        <v>2658</v>
      </c>
      <c r="C43" s="460" t="s">
        <v>3121</v>
      </c>
      <c r="D43" s="435">
        <v>100</v>
      </c>
      <c r="E43" s="460" t="s">
        <v>3121</v>
      </c>
      <c r="F43" s="461">
        <f>SUMIF(123:123,E43,124:124)-SUMIF(123:123,C43,124:124)+100</f>
        <v>100</v>
      </c>
      <c r="G43" s="460" t="s">
        <v>3123</v>
      </c>
      <c r="H43" s="435">
        <f>SUMIF(123:123,G43,124:124)-SUMIF(123:123,C43,124:124)+100</f>
        <v>98</v>
      </c>
      <c r="I43" s="460" t="s">
        <v>3121</v>
      </c>
      <c r="J43" s="435">
        <f>SUMIF(123:123,I43,124:124)-SUMIF(123:123,C43,124:124)+100</f>
        <v>100</v>
      </c>
      <c r="K43" s="612">
        <v>2</v>
      </c>
      <c r="L43" s="1139"/>
      <c r="M43" s="1130"/>
      <c r="N43" s="1130"/>
      <c r="O43" s="1130"/>
      <c r="P43" s="3266"/>
      <c r="Q43" s="2950" t="str">
        <f t="shared" si="11"/>
        <v>内部装修</v>
      </c>
      <c r="R43" s="773" t="s">
        <v>17</v>
      </c>
      <c r="S43" s="774">
        <f t="shared" si="12"/>
        <v>100</v>
      </c>
      <c r="T43" s="773" t="s">
        <v>17</v>
      </c>
      <c r="U43" s="774">
        <f t="shared" si="13"/>
        <v>98</v>
      </c>
      <c r="V43" s="773" t="s">
        <v>17</v>
      </c>
      <c r="W43" s="774">
        <f t="shared" si="14"/>
        <v>100</v>
      </c>
      <c r="X43" s="2952"/>
      <c r="Y43" s="3268"/>
      <c r="Z43" s="2953" t="str">
        <f t="shared" si="15"/>
        <v>内部装修</v>
      </c>
      <c r="AA43" s="2951">
        <f t="shared" si="3"/>
        <v>1</v>
      </c>
      <c r="AB43" s="2951">
        <f t="shared" si="4"/>
        <v>1.0204081632653061</v>
      </c>
      <c r="AC43" s="2670">
        <f t="shared" si="5"/>
        <v>1</v>
      </c>
    </row>
    <row r="44" spans="1:29" ht="15">
      <c r="A44" s="472"/>
      <c r="B44" s="2948" t="s">
        <v>2566</v>
      </c>
      <c r="C44" s="460" t="s">
        <v>3098</v>
      </c>
      <c r="D44" s="435">
        <v>100</v>
      </c>
      <c r="E44" s="460" t="s">
        <v>3098</v>
      </c>
      <c r="F44" s="461">
        <f>SUMIF(125:125,E44,126:126)-SUMIF(125:125,C44,126:126)+100</f>
        <v>100</v>
      </c>
      <c r="G44" s="460" t="s">
        <v>3098</v>
      </c>
      <c r="H44" s="435">
        <f>SUMIF(125:125,G44,126:126)-SUMIF(125:125,C44,126:126)+100</f>
        <v>100</v>
      </c>
      <c r="I44" s="460" t="s">
        <v>3098</v>
      </c>
      <c r="J44" s="435">
        <f>SUMIF(125:125,I44,126:126)-SUMIF(125:125,C44,126:126)+100</f>
        <v>100</v>
      </c>
      <c r="K44" s="612">
        <v>2</v>
      </c>
      <c r="L44" s="1139"/>
      <c r="M44" s="1130"/>
      <c r="N44" s="1130"/>
      <c r="O44" s="1130"/>
      <c r="P44" s="3266"/>
      <c r="Q44" s="2950" t="str">
        <f t="shared" si="11"/>
        <v>内部装修维护情况</v>
      </c>
      <c r="R44" s="773" t="s">
        <v>17</v>
      </c>
      <c r="S44" s="774">
        <f t="shared" si="12"/>
        <v>100</v>
      </c>
      <c r="T44" s="773" t="s">
        <v>17</v>
      </c>
      <c r="U44" s="774">
        <f t="shared" si="13"/>
        <v>100</v>
      </c>
      <c r="V44" s="773" t="s">
        <v>17</v>
      </c>
      <c r="W44" s="774">
        <f t="shared" si="14"/>
        <v>100</v>
      </c>
      <c r="X44" s="2952"/>
      <c r="Y44" s="3268"/>
      <c r="Z44" s="2953" t="str">
        <f t="shared" si="15"/>
        <v>内部装修维护情况</v>
      </c>
      <c r="AA44" s="2951">
        <f t="shared" si="3"/>
        <v>1</v>
      </c>
      <c r="AB44" s="2951">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6"/>
      <c r="Q45" s="2946">
        <f t="shared" si="11"/>
        <v>111</v>
      </c>
      <c r="R45" s="769" t="s">
        <v>17</v>
      </c>
      <c r="S45" s="770">
        <f t="shared" si="12"/>
        <v>100</v>
      </c>
      <c r="T45" s="769" t="s">
        <v>17</v>
      </c>
      <c r="U45" s="770">
        <f t="shared" si="13"/>
        <v>100</v>
      </c>
      <c r="V45" s="769" t="s">
        <v>17</v>
      </c>
      <c r="W45" s="770">
        <f t="shared" si="14"/>
        <v>100</v>
      </c>
      <c r="X45" s="771"/>
      <c r="Y45" s="3268"/>
      <c r="Z45" s="2947">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6"/>
      <c r="Q46" s="2950">
        <f t="shared" si="11"/>
        <v>111</v>
      </c>
      <c r="R46" s="773" t="s">
        <v>17</v>
      </c>
      <c r="S46" s="774">
        <f t="shared" si="12"/>
        <v>100</v>
      </c>
      <c r="T46" s="773" t="s">
        <v>17</v>
      </c>
      <c r="U46" s="774">
        <f t="shared" si="13"/>
        <v>100</v>
      </c>
      <c r="V46" s="773" t="s">
        <v>17</v>
      </c>
      <c r="W46" s="774">
        <f t="shared" si="14"/>
        <v>100</v>
      </c>
      <c r="X46" s="2952"/>
      <c r="Y46" s="3268"/>
      <c r="Z46" s="2953">
        <f t="shared" si="15"/>
        <v>111</v>
      </c>
      <c r="AA46" s="2951">
        <f t="shared" si="3"/>
        <v>1</v>
      </c>
      <c r="AB46" s="295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7"/>
      <c r="Q47" s="2950">
        <f t="shared" si="11"/>
        <v>111</v>
      </c>
      <c r="R47" s="773" t="s">
        <v>17</v>
      </c>
      <c r="S47" s="774">
        <f t="shared" si="12"/>
        <v>100</v>
      </c>
      <c r="T47" s="773" t="s">
        <v>17</v>
      </c>
      <c r="U47" s="774">
        <f t="shared" si="13"/>
        <v>100</v>
      </c>
      <c r="V47" s="773" t="s">
        <v>17</v>
      </c>
      <c r="W47" s="774">
        <f t="shared" si="14"/>
        <v>100</v>
      </c>
      <c r="X47" s="2952"/>
      <c r="Y47" s="3269"/>
      <c r="Z47" s="2953">
        <f t="shared" si="15"/>
        <v>111</v>
      </c>
      <c r="AA47" s="2951">
        <f t="shared" si="3"/>
        <v>1</v>
      </c>
      <c r="AB47" s="2951">
        <f t="shared" si="4"/>
        <v>1</v>
      </c>
      <c r="AC47" s="2670">
        <f t="shared" si="5"/>
        <v>1</v>
      </c>
    </row>
    <row r="48" spans="1:29" ht="15">
      <c r="A48" s="479" t="s">
        <v>2567</v>
      </c>
      <c r="B48" s="480"/>
      <c r="C48" s="1405" t="s">
        <v>1</v>
      </c>
      <c r="D48" s="1406"/>
      <c r="E48" s="1407">
        <v>5.2</v>
      </c>
      <c r="F48" s="1408"/>
      <c r="G48" s="1409">
        <v>5.5</v>
      </c>
      <c r="H48" s="1410"/>
      <c r="I48" s="1407">
        <v>6</v>
      </c>
      <c r="J48" s="485"/>
      <c r="K48" s="782"/>
      <c r="L48" s="1142"/>
      <c r="M48" s="1130"/>
      <c r="N48" s="1130"/>
      <c r="O48" s="1130"/>
      <c r="P48" s="3243" t="str">
        <f>A48</f>
        <v>成交单价（元/平方米）</v>
      </c>
      <c r="Q48" s="3261"/>
      <c r="R48" s="3262">
        <f>E48</f>
        <v>5.2</v>
      </c>
      <c r="S48" s="3262"/>
      <c r="T48" s="3262">
        <f>G48</f>
        <v>5.5</v>
      </c>
      <c r="U48" s="3262"/>
      <c r="V48" s="3262">
        <f>I48</f>
        <v>6</v>
      </c>
      <c r="W48" s="3262"/>
      <c r="X48" s="446"/>
      <c r="Y48" s="780"/>
      <c r="Z48" s="446"/>
      <c r="AA48" s="446"/>
      <c r="AB48" s="446"/>
      <c r="AC48" s="630"/>
    </row>
    <row r="49" spans="1:29" ht="15.75" thickBot="1">
      <c r="A49" s="486" t="s">
        <v>2568</v>
      </c>
      <c r="B49" s="487"/>
      <c r="C49" s="1411">
        <f>R50</f>
        <v>5.5</v>
      </c>
      <c r="D49" s="1412"/>
      <c r="E49" s="1413">
        <f>R49</f>
        <v>5.0999999999999996</v>
      </c>
      <c r="F49" s="1413"/>
      <c r="G49" s="1411">
        <f>T49</f>
        <v>5.3</v>
      </c>
      <c r="H49" s="1412"/>
      <c r="I49" s="1413">
        <f>V49</f>
        <v>6.1</v>
      </c>
      <c r="J49" s="489"/>
      <c r="K49" s="783"/>
      <c r="L49" s="1142"/>
      <c r="M49" s="1130"/>
      <c r="N49" s="1130"/>
      <c r="O49" s="1130"/>
      <c r="P49" s="3243" t="str">
        <f>A49</f>
        <v>比较价值（元/平方米）</v>
      </c>
      <c r="Q49" s="3261"/>
      <c r="R49" s="3262">
        <f>IF(F1="售价",ROUND(PRODUCT(R48,AA7:AA47),0),ROUND(PRODUCT(R48,AA7:AA47),1))</f>
        <v>5.0999999999999996</v>
      </c>
      <c r="S49" s="3262"/>
      <c r="T49" s="3262">
        <f>IF(F1="售价",ROUND(PRODUCT(T48,AB7:AB47),0),ROUND(PRODUCT(T48,AB7:AB47),1))</f>
        <v>5.3</v>
      </c>
      <c r="U49" s="3262"/>
      <c r="V49" s="3262">
        <f>IF(F1="售价",ROUND(PRODUCT(V48,AC7:AC47),0),ROUND(PRODUCT(V48,AC7:AC47),1))</f>
        <v>6.1</v>
      </c>
      <c r="W49" s="3262"/>
      <c r="X49" s="446"/>
      <c r="Y49" s="446"/>
      <c r="Z49" s="446"/>
      <c r="AA49" s="446"/>
      <c r="AB49" s="446"/>
      <c r="AC49" s="630"/>
    </row>
    <row r="50" spans="1:29" ht="15.75" thickBot="1">
      <c r="A50" s="492" t="s">
        <v>2569</v>
      </c>
      <c r="B50" s="493"/>
      <c r="C50" s="1415">
        <f>R50</f>
        <v>5.5</v>
      </c>
      <c r="D50" s="1415"/>
      <c r="E50" s="1415"/>
      <c r="F50" s="1415"/>
      <c r="G50" s="1415"/>
      <c r="H50" s="1415"/>
      <c r="I50" s="1415"/>
      <c r="J50" s="494"/>
      <c r="K50" s="784"/>
      <c r="L50" s="1142"/>
      <c r="M50" s="1130"/>
      <c r="N50" s="1130"/>
      <c r="O50" s="1130"/>
      <c r="P50" s="3287" t="str">
        <f>A50</f>
        <v>估价对象XX用房的比较价值（楼面单价，元/平方米）</v>
      </c>
      <c r="Q50" s="3288"/>
      <c r="R50" s="3289">
        <f>IF(F1="售价",ROUND(AVERAGE(R49:V49),0),ROUND(AVERAGE(R49:V49),1))</f>
        <v>5.5</v>
      </c>
      <c r="S50" s="3289"/>
      <c r="T50" s="3289"/>
      <c r="U50" s="3289"/>
      <c r="V50" s="3289"/>
      <c r="W50" s="3289"/>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2570</v>
      </c>
      <c r="D53" s="498"/>
      <c r="E53" s="499">
        <f>IF(E48&lt;E49,E49/E48-1,E48/E49-1)</f>
        <v>1.9607843137255054E-2</v>
      </c>
      <c r="F53" s="500" t="str">
        <f>IF(OR(E53&gt;=0.3,E53&lt;=-0.3),"超过30%","")</f>
        <v/>
      </c>
      <c r="G53" s="499">
        <f>IF(G48&lt;G49,G49/G48-1,G48/G49-1)</f>
        <v>3.7735849056603765E-2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2571</v>
      </c>
      <c r="D54" s="501"/>
      <c r="E54" s="499">
        <f>IF(E49&lt;G49,G49/E49-1,E49/G49-1)</f>
        <v>3.9215686274509887E-2</v>
      </c>
      <c r="F54" s="500" t="str">
        <f>IF(OR(E54&gt;=0.2,E54&lt;=-0.2),"超过20%","")</f>
        <v/>
      </c>
      <c r="G54" s="499">
        <f>IF(G49&lt;I49,I49/G49-1,G49/I49-1)</f>
        <v>0.15094339622641506</v>
      </c>
      <c r="H54" s="500" t="str">
        <f>IF(OR(G54&gt;=0.2,G54&lt;=-0.2),"超过20%","")</f>
        <v/>
      </c>
      <c r="I54" s="499">
        <f>IF(I49&lt;E49,E49/I49-1,I49/E49-1)</f>
        <v>0.19607843137254899</v>
      </c>
      <c r="J54" s="500" t="str">
        <f>IF(OR(I54&gt;=0.2,I54&lt;=-0.2),"超过20%","")</f>
        <v/>
      </c>
      <c r="K54" s="1104"/>
      <c r="L54" s="1105"/>
      <c r="M54" s="1143"/>
      <c r="N54" s="1143"/>
      <c r="O54" s="1143"/>
    </row>
    <row r="55" spans="1:29" s="502" customFormat="1" ht="13.5" customHeight="1">
      <c r="A55" s="1144"/>
      <c r="B55" s="1144"/>
      <c r="C55" s="497" t="s">
        <v>2572</v>
      </c>
      <c r="D55" s="501"/>
      <c r="E55" s="499">
        <f>IF(E48&lt;G48,G48/E48-1,E48/G48-1)</f>
        <v>5.7692307692307709E-2</v>
      </c>
      <c r="F55" s="500" t="str">
        <f>IF(OR(E55&gt;=0.3,E55&lt;=-0.3),"超过30%","")</f>
        <v/>
      </c>
      <c r="G55" s="499">
        <f>IF(G48&lt;I48,I48/G48-1,G48/I48-1)</f>
        <v>9.0909090909090828E-2</v>
      </c>
      <c r="H55" s="500" t="str">
        <f>IF(OR(G55&gt;=0.3,G55&lt;=-0.3),"超过30%","")</f>
        <v/>
      </c>
      <c r="I55" s="499">
        <f>IF(I48&lt;E48,E48/I48-1,I48/E48-1)</f>
        <v>0.15384615384615374</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2573</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2577</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7" t="s">
        <v>3105</v>
      </c>
      <c r="D87" s="2967" t="s">
        <v>3107</v>
      </c>
      <c r="E87" s="2967" t="s">
        <v>3108</v>
      </c>
      <c r="F87" s="2967" t="s">
        <v>3110</v>
      </c>
      <c r="G87" s="2967" t="s">
        <v>3111</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7" t="s">
        <v>3113</v>
      </c>
      <c r="D89" s="2967" t="s">
        <v>3115</v>
      </c>
      <c r="E89" s="2967" t="s">
        <v>3116</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8" t="s">
        <v>3118</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7" t="s">
        <v>3119</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3120</v>
      </c>
      <c r="D108" s="2967" t="s">
        <v>3122</v>
      </c>
      <c r="E108" s="2967" t="s">
        <v>3124</v>
      </c>
      <c r="F108" s="2969" t="s">
        <v>3125</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3127</v>
      </c>
      <c r="D113" s="2967" t="s">
        <v>3128</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3130</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3132</v>
      </c>
      <c r="D117" s="2967" t="s">
        <v>3134</v>
      </c>
      <c r="E117" s="2967" t="s">
        <v>3135</v>
      </c>
      <c r="F117" s="2967" t="s">
        <v>3136</v>
      </c>
      <c r="G117" s="2967" t="s">
        <v>3137</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3139</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3120</v>
      </c>
      <c r="D123" s="2967" t="s">
        <v>3122</v>
      </c>
      <c r="E123" s="2967" t="s">
        <v>3124</v>
      </c>
      <c r="F123" s="2969" t="s">
        <v>3125</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T23" sqref="T23"/>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37" t="s">
        <v>2994</v>
      </c>
      <c r="D1" s="3338"/>
      <c r="E1" s="3338"/>
      <c r="F1" s="3338"/>
      <c r="G1" s="3338"/>
      <c r="H1" s="3338"/>
      <c r="I1" s="3338"/>
      <c r="J1" s="3338"/>
      <c r="K1" s="3338"/>
      <c r="L1" s="3338"/>
      <c r="M1" s="3338"/>
      <c r="N1" s="3338"/>
      <c r="O1" s="3338"/>
      <c r="P1" s="3338"/>
      <c r="Q1" s="3338"/>
      <c r="R1" s="3338"/>
      <c r="S1" s="3339"/>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9">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3003</v>
      </c>
      <c r="B17" s="2905" t="s">
        <v>3004</v>
      </c>
      <c r="C17" s="2971" t="s">
        <v>3141</v>
      </c>
      <c r="D17" s="2972" t="s">
        <v>3142</v>
      </c>
      <c r="E17" s="2972" t="s">
        <v>3143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6" t="s">
        <v>3005</v>
      </c>
      <c r="E19" s="1790"/>
      <c r="F19" s="1790"/>
      <c r="G19" s="1790"/>
      <c r="H19" s="1278"/>
      <c r="I19" s="168"/>
      <c r="J19" s="168"/>
      <c r="K19" s="168"/>
      <c r="L19" s="168"/>
      <c r="M19" s="168"/>
      <c r="N19" s="168"/>
      <c r="O19" s="168"/>
      <c r="P19" s="168"/>
      <c r="Q19" s="168"/>
      <c r="R19" s="787"/>
      <c r="S19" s="138"/>
    </row>
    <row r="20" spans="1:45" ht="16.5" thickBot="1">
      <c r="A20" s="714" t="s">
        <v>3006</v>
      </c>
      <c r="B20" s="338">
        <f ca="1">IF(D20="——",S22,S22-F20)</f>
        <v>1755</v>
      </c>
      <c r="C20" s="168"/>
      <c r="D20" s="2907" t="s">
        <v>70</v>
      </c>
      <c r="E20" s="1791"/>
      <c r="F20" s="1203" t="e">
        <f ca="1">SUMIF(INDIRECT("'"&amp;H20&amp;"'"&amp;"!A:A"),"承租人权益价值",INDIRECT("'"&amp;H20&amp;"'"&amp;"!c:c"))</f>
        <v>#REF!</v>
      </c>
      <c r="G20" s="1203" t="s">
        <v>3007</v>
      </c>
      <c r="H20" s="2908"/>
      <c r="I20" s="168"/>
      <c r="J20" s="168"/>
      <c r="K20" s="168"/>
      <c r="L20" s="168"/>
      <c r="M20" s="168"/>
      <c r="N20" s="168"/>
      <c r="O20" s="168"/>
      <c r="P20" s="168"/>
      <c r="Q20" s="168"/>
      <c r="R20" s="787"/>
      <c r="S20" s="138"/>
    </row>
    <row r="21" spans="1:45" ht="15.75">
      <c r="A21" s="714" t="s">
        <v>3008</v>
      </c>
      <c r="B21" s="338">
        <f ca="1">R22</f>
        <v>40324</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435.22</v>
      </c>
      <c r="C22" s="3111" t="s">
        <v>33</v>
      </c>
      <c r="D22" s="3112"/>
      <c r="E22" s="3112"/>
      <c r="F22" s="3112"/>
      <c r="G22" s="3112"/>
      <c r="H22" s="3112"/>
      <c r="I22" s="3112"/>
      <c r="J22" s="3112"/>
      <c r="K22" s="3112"/>
      <c r="L22" s="3112"/>
      <c r="M22" s="3112"/>
      <c r="N22" s="3112"/>
      <c r="O22" s="3112"/>
      <c r="P22" s="3112"/>
      <c r="Q22" s="3336"/>
      <c r="R22" s="715">
        <f ca="1">ROUND(S22*10000/B22,0)</f>
        <v>40324</v>
      </c>
      <c r="S22" s="24">
        <f ca="1">SUM(S24:S10000)</f>
        <v>1755</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610</v>
      </c>
      <c r="B24" s="717">
        <f>面积!F7</f>
        <v>78.53</v>
      </c>
      <c r="C24" s="718">
        <v>1</v>
      </c>
      <c r="D24" s="719"/>
      <c r="E24" s="718">
        <v>1</v>
      </c>
      <c r="F24" s="719"/>
      <c r="G24" s="718">
        <v>1</v>
      </c>
      <c r="H24" s="719"/>
      <c r="I24" s="718">
        <v>1</v>
      </c>
      <c r="J24" s="719"/>
      <c r="K24" s="718">
        <v>1</v>
      </c>
      <c r="L24" s="719"/>
      <c r="M24" s="718">
        <v>1</v>
      </c>
      <c r="N24" s="719"/>
      <c r="O24" s="718">
        <v>1</v>
      </c>
      <c r="P24" s="719" t="s">
        <v>3083</v>
      </c>
      <c r="Q24" s="718">
        <v>1</v>
      </c>
      <c r="R24" s="720">
        <f ca="1">'结果表 (2)'!G20</f>
        <v>39820</v>
      </c>
      <c r="S24" s="718">
        <f t="shared" ref="S24:S54" ca="1" si="11">ROUND(R24*B24/10000,0)</f>
        <v>313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v>611</v>
      </c>
      <c r="B25" s="2980">
        <f>面积!F8</f>
        <v>119.78</v>
      </c>
      <c r="C25" s="24">
        <f>IF(B25="",1,(LOOKUP(B25,$3:$3,$4:$4)-LOOKUP($B$24,$3:$3,$4:$4)+100)/100)</f>
        <v>1.02</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3083</v>
      </c>
      <c r="Q25" s="24">
        <f>(SUMIF($17:$17,P25,$18:$18)-SUMIF($17:$17,$P$24,$18:$18)+100)/100</f>
        <v>1</v>
      </c>
      <c r="R25" s="715">
        <f ca="1">IF(B25="",0,ROUND($R$24*C25*E25*G25*I25*K25*M25*O25*Q25,0))</f>
        <v>40616</v>
      </c>
      <c r="S25" s="361">
        <f t="shared" ca="1" si="11"/>
        <v>486</v>
      </c>
    </row>
    <row r="26" spans="1:45">
      <c r="A26" s="59">
        <v>612</v>
      </c>
      <c r="B26" s="2980">
        <f>面积!F9</f>
        <v>78.53</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3083</v>
      </c>
      <c r="Q26" s="24">
        <f t="shared" ref="Q26:Q89" si="19">(SUMIF($17:$17,P26,$18:$18)-SUMIF($17:$17,$P$24,$18:$18)+100)/100</f>
        <v>1</v>
      </c>
      <c r="R26" s="715">
        <f t="shared" ref="R26:R89" ca="1" si="20">IF(B26="",0,ROUND($R$24*C26*E26*G26*I26*K26*M26*O26*Q26,0))</f>
        <v>39820</v>
      </c>
      <c r="S26" s="361">
        <f t="shared" ca="1" si="11"/>
        <v>313</v>
      </c>
    </row>
    <row r="27" spans="1:45">
      <c r="A27" s="59">
        <v>613</v>
      </c>
      <c r="B27" s="2980">
        <f>面积!F10</f>
        <v>158.38</v>
      </c>
      <c r="C27" s="24">
        <f t="shared" si="12"/>
        <v>1.02</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3083</v>
      </c>
      <c r="Q27" s="24">
        <f t="shared" si="19"/>
        <v>1</v>
      </c>
      <c r="R27" s="715">
        <f t="shared" ca="1" si="20"/>
        <v>40616</v>
      </c>
      <c r="S27" s="361">
        <f t="shared" ca="1" si="11"/>
        <v>643</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0.06</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0.06</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0.06</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0.06</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0.06</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0.06</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0.06</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0.06</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0.06</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0.06</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0.06</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29628</v>
      </c>
      <c r="C2" s="2" t="s">
        <v>133</v>
      </c>
      <c r="D2" s="243"/>
      <c r="E2" s="243"/>
      <c r="F2" s="243"/>
      <c r="G2" s="243"/>
    </row>
    <row r="3" spans="1:7" s="244" customFormat="1" ht="18" customHeight="1" thickBot="1">
      <c r="A3" s="247" t="s">
        <v>85</v>
      </c>
      <c r="B3" s="248">
        <f ca="1">ROUND(B2*10000/'数据-汇总表'!E3,0)</f>
        <v>680759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v>
      </c>
      <c r="D10" s="1031">
        <f>'数据-汇总表'!E6</f>
        <v>435.22</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9</v>
      </c>
      <c r="D19" s="1035">
        <f>'数据-汇总表'!E3</f>
        <v>435.22</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4206</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4206</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v>
      </c>
      <c r="D37" s="261">
        <f>'数据-汇总表'!E3</f>
        <v>435.22</v>
      </c>
      <c r="E37" s="293">
        <f>'数据-取费表'!B35</f>
        <v>200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2</v>
      </c>
      <c r="D42" s="282"/>
      <c r="E42" s="282"/>
      <c r="F42" s="283"/>
      <c r="G42" s="3196" t="s">
        <v>121</v>
      </c>
    </row>
    <row r="43" spans="1:7" ht="13.5" customHeight="1">
      <c r="A43" s="950" t="s">
        <v>792</v>
      </c>
      <c r="B43" s="259" t="s">
        <v>1061</v>
      </c>
      <c r="C43" s="282">
        <f ca="1">ROUND(IF('数据-取费表'!B22&lt;=1,C39*F22*'数据-取费表'!B21/2,C39*(POWER((1+F22),'数据-取费表'!B21/2)-1)),0)</f>
        <v>0</v>
      </c>
      <c r="D43" s="282"/>
      <c r="E43" s="282"/>
      <c r="F43" s="283"/>
      <c r="G43" s="3197"/>
    </row>
    <row r="44" spans="1:7" ht="13.5" customHeight="1">
      <c r="A44" s="950" t="s">
        <v>793</v>
      </c>
      <c r="B44" s="259" t="s">
        <v>1063</v>
      </c>
      <c r="C44" s="282">
        <f ca="1">ROUND(IF('数据-取费表'!B22&lt;=1,C40*F22*'数据-取费表'!B21/2,C40*(POWER((1+F22),'数据-取费表'!B21/2)-1)),4)</f>
        <v>1E-3</v>
      </c>
      <c r="D44" s="282"/>
      <c r="E44" s="282"/>
      <c r="F44" s="283"/>
      <c r="G44" s="3198"/>
    </row>
    <row r="45" spans="1:7" s="258" customFormat="1" ht="13.5" customHeight="1">
      <c r="A45" s="947" t="s">
        <v>786</v>
      </c>
      <c r="B45" s="288" t="s">
        <v>112</v>
      </c>
      <c r="C45" s="289">
        <f>C46</f>
        <v>8</v>
      </c>
      <c r="D45" s="279">
        <f>C47</f>
        <v>4.0000000000000001E-3</v>
      </c>
      <c r="E45" s="280" t="s">
        <v>129</v>
      </c>
      <c r="F45" s="290"/>
      <c r="G45" s="291" t="s">
        <v>1069</v>
      </c>
    </row>
    <row r="46" spans="1:7" s="258" customFormat="1" ht="13.5" customHeight="1">
      <c r="A46" s="950" t="s">
        <v>794</v>
      </c>
      <c r="B46" s="292" t="s">
        <v>1062</v>
      </c>
      <c r="C46" s="293">
        <f>ROUND((C33+C39)*F27,0)</f>
        <v>8</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56</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49</v>
      </c>
      <c r="D51" s="276"/>
      <c r="E51" s="276"/>
      <c r="F51" s="308"/>
      <c r="G51" s="278" t="s">
        <v>64</v>
      </c>
    </row>
    <row r="52" spans="1:7" s="252" customFormat="1" ht="16.5" thickBot="1">
      <c r="A52" s="309" t="s">
        <v>65</v>
      </c>
      <c r="B52" s="310"/>
      <c r="C52" s="311">
        <f ca="1">C31+C51</f>
        <v>29628</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0" t="s">
        <v>156</v>
      </c>
      <c r="B1" s="3340"/>
      <c r="C1" s="3340"/>
      <c r="D1" s="3340"/>
      <c r="E1" s="3340"/>
      <c r="F1" s="334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1" t="s">
        <v>169</v>
      </c>
      <c r="B2" s="3341"/>
      <c r="C2" s="3341"/>
      <c r="D2" s="3341"/>
      <c r="E2" s="3341"/>
      <c r="F2" s="334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40" t="s">
        <v>868</v>
      </c>
      <c r="B1" s="3340"/>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43718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11"/>
  <sheetViews>
    <sheetView workbookViewId="0">
      <selection activeCell="G28" sqref="G28"/>
    </sheetView>
  </sheetViews>
  <sheetFormatPr defaultColWidth="9" defaultRowHeight="12.75"/>
  <cols>
    <col min="1" max="1" width="9" style="2963"/>
    <col min="2" max="2" width="4.875" style="2963" customWidth="1"/>
    <col min="3" max="3" width="31.25" style="2963" customWidth="1"/>
    <col min="4" max="4" width="30.375" style="2963" customWidth="1"/>
    <col min="5" max="7" width="9" style="2963"/>
    <col min="8" max="13" width="9" style="2963" customWidth="1"/>
    <col min="14" max="16384" width="9" style="2963"/>
  </cols>
  <sheetData>
    <row r="5" spans="2:13">
      <c r="B5" s="2978" t="s">
        <v>3159</v>
      </c>
      <c r="C5" s="2978" t="s">
        <v>3160</v>
      </c>
    </row>
    <row r="6" spans="2:13">
      <c r="B6" s="2965" t="s">
        <v>3073</v>
      </c>
      <c r="C6" s="2964" t="s">
        <v>3155</v>
      </c>
      <c r="D6" s="2965" t="s">
        <v>3074</v>
      </c>
      <c r="E6" s="2964" t="s">
        <v>3079</v>
      </c>
      <c r="F6" s="2965" t="s">
        <v>3075</v>
      </c>
      <c r="G6" s="2964" t="s">
        <v>3079</v>
      </c>
      <c r="H6" s="2965" t="s">
        <v>3076</v>
      </c>
      <c r="I6" s="2964" t="s">
        <v>3080</v>
      </c>
      <c r="J6" s="2964" t="s">
        <v>3081</v>
      </c>
      <c r="K6" s="2964" t="s">
        <v>3082</v>
      </c>
      <c r="L6" s="2964" t="s">
        <v>3150</v>
      </c>
      <c r="M6" s="2964" t="s">
        <v>3151</v>
      </c>
    </row>
    <row r="7" spans="2:13">
      <c r="B7" s="2965">
        <v>1</v>
      </c>
      <c r="C7" s="2965" t="s">
        <v>3162</v>
      </c>
      <c r="D7" s="2965" t="s">
        <v>3077</v>
      </c>
      <c r="E7" s="2965" t="s">
        <v>3078</v>
      </c>
      <c r="F7" s="2965">
        <v>78.53</v>
      </c>
      <c r="G7" s="2965" t="s">
        <v>3078</v>
      </c>
      <c r="H7" s="2965" t="s">
        <v>3078</v>
      </c>
      <c r="I7" s="2965">
        <v>21</v>
      </c>
      <c r="J7" s="2965">
        <v>5</v>
      </c>
      <c r="K7" s="2965" t="s">
        <v>3152</v>
      </c>
      <c r="L7" s="2965">
        <f ca="1">典型户型修正!R24</f>
        <v>39820</v>
      </c>
      <c r="M7" s="2965">
        <f ca="1">典型户型修正!S24</f>
        <v>313</v>
      </c>
    </row>
    <row r="8" spans="2:13" ht="13.5">
      <c r="B8" s="2965">
        <v>2</v>
      </c>
      <c r="C8" s="2965" t="s">
        <v>3156</v>
      </c>
      <c r="D8" s="2965" t="s">
        <v>3069</v>
      </c>
      <c r="E8" s="2965" t="s">
        <v>3078</v>
      </c>
      <c r="F8" s="2965">
        <v>119.78</v>
      </c>
      <c r="G8" s="2965" t="s">
        <v>3078</v>
      </c>
      <c r="H8" s="2965" t="s">
        <v>3078</v>
      </c>
      <c r="I8" s="2965">
        <v>21</v>
      </c>
      <c r="J8" s="2965">
        <v>5</v>
      </c>
      <c r="K8" s="2965" t="s">
        <v>3152</v>
      </c>
      <c r="L8" s="2965">
        <f ca="1">典型户型修正!R25</f>
        <v>40616</v>
      </c>
      <c r="M8" s="2965">
        <f ca="1">典型户型修正!S25</f>
        <v>486</v>
      </c>
    </row>
    <row r="9" spans="2:13" ht="13.5">
      <c r="B9" s="2965">
        <v>3</v>
      </c>
      <c r="C9" s="2965" t="s">
        <v>3157</v>
      </c>
      <c r="D9" s="2965" t="s">
        <v>3070</v>
      </c>
      <c r="E9" s="2965" t="s">
        <v>3078</v>
      </c>
      <c r="F9" s="2965">
        <v>78.53</v>
      </c>
      <c r="G9" s="2965" t="s">
        <v>3078</v>
      </c>
      <c r="H9" s="2965" t="s">
        <v>3078</v>
      </c>
      <c r="I9" s="2965">
        <v>21</v>
      </c>
      <c r="J9" s="2965">
        <v>5</v>
      </c>
      <c r="K9" s="2965" t="s">
        <v>3152</v>
      </c>
      <c r="L9" s="2965">
        <f ca="1">典型户型修正!R26</f>
        <v>39820</v>
      </c>
      <c r="M9" s="2965">
        <f ca="1">典型户型修正!S26</f>
        <v>313</v>
      </c>
    </row>
    <row r="10" spans="2:13" ht="13.5">
      <c r="B10" s="2965">
        <v>4</v>
      </c>
      <c r="C10" s="2965" t="s">
        <v>3158</v>
      </c>
      <c r="D10" s="2965" t="s">
        <v>3071</v>
      </c>
      <c r="E10" s="2965" t="s">
        <v>3078</v>
      </c>
      <c r="F10" s="2965">
        <v>158.38</v>
      </c>
      <c r="G10" s="2965" t="s">
        <v>3078</v>
      </c>
      <c r="H10" s="2965" t="s">
        <v>3078</v>
      </c>
      <c r="I10" s="2965">
        <v>21</v>
      </c>
      <c r="J10" s="2965">
        <v>5</v>
      </c>
      <c r="K10" s="2965" t="s">
        <v>3152</v>
      </c>
      <c r="L10" s="2965">
        <f ca="1">典型户型修正!R27</f>
        <v>40616</v>
      </c>
      <c r="M10" s="2965">
        <f ca="1">典型户型修正!S27</f>
        <v>643</v>
      </c>
    </row>
    <row r="11" spans="2:13">
      <c r="B11" s="3344" t="s">
        <v>3153</v>
      </c>
      <c r="C11" s="3345"/>
      <c r="D11" s="3345"/>
      <c r="E11" s="2977" t="s">
        <v>3072</v>
      </c>
      <c r="F11" s="2977">
        <f>SUM(F7:F10)</f>
        <v>435.22</v>
      </c>
      <c r="G11" s="2977" t="s">
        <v>3072</v>
      </c>
      <c r="H11" s="2977" t="s">
        <v>3072</v>
      </c>
      <c r="I11" s="2977" t="s">
        <v>3072</v>
      </c>
      <c r="J11" s="2977" t="s">
        <v>3072</v>
      </c>
      <c r="K11" s="2977" t="s">
        <v>3072</v>
      </c>
      <c r="L11" s="2977">
        <f ca="1">ROUND(M11/F11*10000,0)</f>
        <v>40324</v>
      </c>
      <c r="M11" s="2977">
        <f ca="1">SUM(M7:M10)</f>
        <v>1755</v>
      </c>
    </row>
  </sheetData>
  <mergeCells count="1">
    <mergeCell ref="B11:D11"/>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24" sqref="L124"/>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O174" sqref="O174"/>
    </sheetView>
  </sheetViews>
  <sheetFormatPr defaultColWidth="9" defaultRowHeight="13.5"/>
  <cols>
    <col min="1" max="16384" width="9" style="2979"/>
  </cols>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1636</v>
      </c>
      <c r="B2" s="3022" t="s">
        <v>1637</v>
      </c>
      <c r="C2" s="3022" t="s">
        <v>1638</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23"/>
      <c r="B3" s="3023"/>
      <c r="C3" s="3023"/>
      <c r="D3" s="1043" t="s">
        <v>1633</v>
      </c>
      <c r="E3" s="1043" t="s">
        <v>1639</v>
      </c>
      <c r="F3" s="1043" t="s">
        <v>1633</v>
      </c>
      <c r="G3" s="1043" t="s">
        <v>1634</v>
      </c>
      <c r="H3" s="1043" t="s">
        <v>1633</v>
      </c>
      <c r="I3" s="1043" t="s">
        <v>1634</v>
      </c>
    </row>
    <row r="4" spans="1:9" ht="45">
      <c r="A4" s="1970" t="str">
        <f>项目基本情况!S2</f>
        <v>北京市丰台区南四环西路128号院2号楼5层610等4套办公用房房地产</v>
      </c>
      <c r="B4" s="1043">
        <f>项目基本情况!C17</f>
        <v>435.22</v>
      </c>
      <c r="C4" s="1043">
        <f>项目基本情况!C18</f>
        <v>0</v>
      </c>
      <c r="D4" s="1043" t="e">
        <f ca="1">结果表!D118</f>
        <v>#REF!</v>
      </c>
      <c r="E4" s="1043" t="e">
        <f ca="1">结果表!E118</f>
        <v>#REF!</v>
      </c>
      <c r="F4" s="1043" t="e">
        <f ca="1">结果表!F118</f>
        <v>#REF!</v>
      </c>
      <c r="G4" s="1043" t="e">
        <f ca="1">结果表!G118</f>
        <v>#REF!</v>
      </c>
      <c r="H4" s="1043">
        <f ca="1">结果表!H118</f>
        <v>1755</v>
      </c>
      <c r="I4" s="1043">
        <f ca="1">结果表!I118</f>
        <v>40324</v>
      </c>
    </row>
    <row r="5" spans="1:9" ht="30" customHeight="1">
      <c r="A5" s="3023" t="s">
        <v>1635</v>
      </c>
      <c r="B5" s="3023"/>
      <c r="C5" s="3023"/>
      <c r="D5" s="3024" t="e">
        <f ca="1">结果表!D119</f>
        <v>#REF!</v>
      </c>
      <c r="E5" s="3024"/>
      <c r="F5" s="3024" t="e">
        <f ca="1">结果表!F119</f>
        <v>#REF!</v>
      </c>
      <c r="G5" s="3024"/>
      <c r="H5" s="3024" t="str">
        <f ca="1">结果表!H119</f>
        <v>壹仟柒佰伍拾伍万元整</v>
      </c>
      <c r="I5" s="3024"/>
    </row>
    <row r="6" spans="1:9" ht="15.75">
      <c r="A6" s="3025" t="str">
        <f>结果表!A120</f>
        <v>估价师知悉的法定优先受偿款</v>
      </c>
      <c r="B6" s="3025"/>
      <c r="C6" s="3025"/>
      <c r="D6" s="3025">
        <f>结果表!D120</f>
        <v>0</v>
      </c>
      <c r="E6" s="3025"/>
      <c r="F6" s="3025"/>
      <c r="G6" s="3025"/>
      <c r="H6" s="3025"/>
      <c r="I6" s="3025"/>
    </row>
    <row r="7" spans="1:9" ht="15">
      <c r="A7" s="3023" t="s">
        <v>1635</v>
      </c>
      <c r="B7" s="3023"/>
      <c r="C7" s="3023"/>
      <c r="D7" s="3026" t="str">
        <f>结果表!D121</f>
        <v>零元整</v>
      </c>
      <c r="E7" s="3027"/>
      <c r="F7" s="3027"/>
      <c r="G7" s="3027"/>
      <c r="H7" s="3027"/>
      <c r="I7" s="3028"/>
    </row>
    <row r="8" spans="1:9" ht="15.75">
      <c r="A8" s="3025" t="str">
        <f>结果表!A122</f>
        <v>房地产抵押价值</v>
      </c>
      <c r="B8" s="3025"/>
      <c r="C8" s="3025"/>
      <c r="D8" s="3025">
        <f ca="1">结果表!D122</f>
        <v>1755</v>
      </c>
      <c r="E8" s="3025"/>
      <c r="F8" s="3025"/>
      <c r="G8" s="3025"/>
      <c r="H8" s="3025"/>
      <c r="I8" s="3025"/>
    </row>
    <row r="9" spans="1:9" ht="15">
      <c r="A9" s="3023" t="s">
        <v>1635</v>
      </c>
      <c r="B9" s="3023"/>
      <c r="C9" s="3023"/>
      <c r="D9" s="3024" t="str">
        <f ca="1">结果表!D123</f>
        <v>壹仟柒佰伍拾伍万元整</v>
      </c>
      <c r="E9" s="3024"/>
      <c r="F9" s="3024"/>
      <c r="G9" s="3024"/>
      <c r="H9" s="3024"/>
      <c r="I9" s="3024"/>
    </row>
    <row r="10" spans="1:9" ht="15.75">
      <c r="A10" s="3025" t="str">
        <f>结果表!A124</f>
        <v/>
      </c>
      <c r="B10" s="3025"/>
      <c r="C10" s="3025"/>
      <c r="D10" s="3025" t="str">
        <f>结果表!D124</f>
        <v>——</v>
      </c>
      <c r="E10" s="3025"/>
      <c r="F10" s="3025"/>
      <c r="G10" s="3025"/>
      <c r="H10" s="3025"/>
      <c r="I10" s="3025"/>
    </row>
    <row r="11" spans="1:9" ht="15">
      <c r="A11" s="3023" t="s">
        <v>1635</v>
      </c>
      <c r="B11" s="3023"/>
      <c r="C11" s="3023"/>
      <c r="D11" s="3024" t="e">
        <f>结果表!D125</f>
        <v>#VALUE!</v>
      </c>
      <c r="E11" s="3024"/>
      <c r="F11" s="3024"/>
      <c r="G11" s="3024"/>
      <c r="H11" s="3024"/>
      <c r="I11" s="3024"/>
    </row>
    <row r="12" spans="1:9" ht="15.75">
      <c r="A12" s="3025" t="str">
        <f>结果表!A126</f>
        <v/>
      </c>
      <c r="B12" s="3025"/>
      <c r="C12" s="3025"/>
      <c r="D12" s="3025" t="str">
        <f>结果表!D126</f>
        <v>——</v>
      </c>
      <c r="E12" s="3025"/>
      <c r="F12" s="3025"/>
      <c r="G12" s="3025"/>
      <c r="H12" s="3025"/>
      <c r="I12" s="3025"/>
    </row>
    <row r="13" spans="1:9" ht="15.75" thickBot="1">
      <c r="A13" s="3029" t="s">
        <v>1635</v>
      </c>
      <c r="B13" s="3029"/>
      <c r="C13" s="3029"/>
      <c r="D13" s="3030" t="e">
        <f>结果表!D127</f>
        <v>#VALUE!</v>
      </c>
      <c r="E13" s="3030"/>
      <c r="F13" s="3030"/>
      <c r="G13" s="3030"/>
      <c r="H13" s="3030"/>
      <c r="I13" s="3030"/>
    </row>
    <row r="14" spans="1:9" ht="15" thickTop="1">
      <c r="A14" s="3031" t="s">
        <v>1640</v>
      </c>
      <c r="B14" s="3031"/>
      <c r="C14" s="3031"/>
      <c r="D14" s="3031"/>
      <c r="E14" s="3031"/>
      <c r="F14" s="3031"/>
      <c r="G14" s="3031"/>
      <c r="H14" s="3031"/>
      <c r="I14" s="303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2" t="s">
        <v>1657</v>
      </c>
      <c r="B1" s="3032"/>
      <c r="C1" s="3032"/>
      <c r="D1" s="3032"/>
    </row>
    <row r="2" spans="1:4" ht="18">
      <c r="A2" s="3033" t="s">
        <v>1641</v>
      </c>
      <c r="B2" s="3033"/>
      <c r="C2" s="3033"/>
      <c r="D2" s="3033"/>
    </row>
    <row r="3" spans="1:4" ht="18.75">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8">
      <c r="A6" s="3033" t="s">
        <v>1647</v>
      </c>
      <c r="B6" s="3033"/>
      <c r="C6" s="3033"/>
      <c r="D6" s="3033"/>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4" t="s">
        <v>1650</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（1）根据估价对象《不动产权证书》复印件、，截至价值时点，估价对象抵押权未见登记。</v>
      </c>
      <c r="B15" s="3035"/>
      <c r="C15" s="3035"/>
      <c r="D15" s="3035"/>
    </row>
    <row r="16" spans="1:4" ht="30" customHeight="1">
      <c r="A16" s="3038" t="s">
        <v>1651</v>
      </c>
      <c r="B16" s="3038"/>
      <c r="C16" s="3038"/>
      <c r="D16" s="3038"/>
    </row>
    <row r="17" spans="1:4" ht="144" customHeight="1">
      <c r="A17" s="3038" t="s">
        <v>1652</v>
      </c>
      <c r="B17" s="3038"/>
      <c r="C17" s="3038"/>
      <c r="D17" s="3038"/>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1653</v>
      </c>
      <c r="B22" s="3040"/>
      <c r="C22" s="3040"/>
      <c r="D22" s="3040"/>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6" t="s">
        <v>1664</v>
      </c>
      <c r="B15" s="3041" t="s">
        <v>136</v>
      </c>
      <c r="C15" s="3042"/>
    </row>
    <row r="16" spans="1:7" ht="13.5">
      <c r="A16" s="3047"/>
      <c r="B16" s="3041" t="s">
        <v>69</v>
      </c>
      <c r="C16" s="3042"/>
    </row>
    <row r="17" spans="1:3" ht="13.5">
      <c r="A17" s="3047"/>
      <c r="B17" s="3044" t="s">
        <v>1665</v>
      </c>
      <c r="C17" s="1997" t="s">
        <v>1664</v>
      </c>
    </row>
    <row r="18" spans="1:3" ht="13.5">
      <c r="A18" s="3047"/>
      <c r="B18" s="3044"/>
      <c r="C18" s="1997" t="s">
        <v>1666</v>
      </c>
    </row>
    <row r="19" spans="1:3" ht="13.5">
      <c r="A19" s="3047"/>
      <c r="B19" s="3044"/>
      <c r="C19" s="1997" t="s">
        <v>1667</v>
      </c>
    </row>
    <row r="20" spans="1:3" ht="13.5">
      <c r="A20" s="3048"/>
      <c r="B20" s="3043" t="s">
        <v>1668</v>
      </c>
      <c r="C20" s="3042"/>
    </row>
    <row r="21" spans="1:3" ht="13.5">
      <c r="A21" s="1998" t="s">
        <v>1669</v>
      </c>
      <c r="B21" s="1999"/>
      <c r="C21" s="2000"/>
    </row>
    <row r="22" spans="1:3" ht="13.5">
      <c r="A22" s="3045" t="s">
        <v>1670</v>
      </c>
      <c r="B22" s="3043" t="s">
        <v>1671</v>
      </c>
      <c r="C22" s="3042"/>
    </row>
    <row r="23" spans="1:3" ht="13.5">
      <c r="A23" s="3045"/>
      <c r="B23" s="3043" t="s">
        <v>1672</v>
      </c>
      <c r="C23" s="3042"/>
    </row>
    <row r="24" spans="1:3" ht="13.5">
      <c r="A24" s="3045"/>
      <c r="B24" s="3043" t="s">
        <v>1673</v>
      </c>
      <c r="C24" s="3042"/>
    </row>
    <row r="25" spans="1:3" ht="13.5">
      <c r="A25" s="3045"/>
      <c r="B25" s="3044" t="s">
        <v>1674</v>
      </c>
      <c r="C25" s="1997" t="s">
        <v>1675</v>
      </c>
    </row>
    <row r="26" spans="1:3" ht="13.5">
      <c r="A26" s="3045"/>
      <c r="B26" s="3044"/>
      <c r="C26" s="1997" t="s">
        <v>1676</v>
      </c>
    </row>
    <row r="27" spans="1:3" ht="13.5">
      <c r="A27" s="3045"/>
      <c r="B27" s="3044"/>
      <c r="C27" s="1997" t="s">
        <v>1677</v>
      </c>
    </row>
    <row r="28" spans="1:3" ht="13.5">
      <c r="A28" s="3045"/>
      <c r="B28" s="3044"/>
      <c r="C28" s="1997" t="s">
        <v>1678</v>
      </c>
    </row>
    <row r="29" spans="1:3" ht="13.5">
      <c r="A29" s="3045"/>
      <c r="B29" s="3044"/>
      <c r="C29" s="1997" t="s">
        <v>1679</v>
      </c>
    </row>
    <row r="30" spans="1:3" ht="13.5">
      <c r="A30" s="3045"/>
      <c r="B30" s="3044"/>
      <c r="C30" s="1997" t="s">
        <v>1680</v>
      </c>
    </row>
    <row r="31" spans="1:3" ht="13.5">
      <c r="A31" s="3045"/>
      <c r="B31" s="3044"/>
      <c r="C31" s="1997" t="s">
        <v>1681</v>
      </c>
    </row>
    <row r="32" spans="1:3" ht="13.5">
      <c r="A32" s="3045"/>
      <c r="B32" s="3044"/>
      <c r="C32" s="1997" t="s">
        <v>1682</v>
      </c>
    </row>
    <row r="33" spans="1:3" ht="13.5">
      <c r="A33" s="3045"/>
      <c r="B33" s="3044"/>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43726</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44554</v>
      </c>
      <c r="D10" s="2345" t="s">
        <v>838</v>
      </c>
      <c r="E10" s="1021">
        <f ca="1">IF(F10&lt;B2,"已过期",2004110096)</f>
        <v>2004110096</v>
      </c>
      <c r="F10" s="1029">
        <v>47118</v>
      </c>
    </row>
    <row r="11" spans="1:6" ht="24" customHeight="1">
      <c r="A11" s="1700" t="s">
        <v>839</v>
      </c>
      <c r="B11" s="1021">
        <f ca="1">IF(C11&lt;B2,"已过期",1120100036)</f>
        <v>1120100036</v>
      </c>
      <c r="C11" s="2342">
        <v>44675</v>
      </c>
      <c r="D11" s="2345" t="s">
        <v>839</v>
      </c>
      <c r="E11" s="1021">
        <f ca="1">IF(F11&lt;B2,"已过期",2010110070)</f>
        <v>2010110070</v>
      </c>
      <c r="F11" s="1029">
        <v>47907</v>
      </c>
    </row>
    <row r="12" spans="1:6" ht="24" customHeight="1">
      <c r="A12" s="1700"/>
      <c r="B12" s="1021"/>
      <c r="C12" s="2924"/>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3032</v>
      </c>
      <c r="B14" s="1021">
        <f ca="1">IF(C14&lt;B2,"已过期",1120040230)</f>
        <v>1120040230</v>
      </c>
      <c r="C14" s="2342">
        <v>43835</v>
      </c>
      <c r="D14" s="2345" t="s">
        <v>3032</v>
      </c>
      <c r="E14" s="1021">
        <f ca="1">IF(F14&lt;B2,"已过期",98030020)</f>
        <v>98030020</v>
      </c>
      <c r="F14" s="1029">
        <v>47118</v>
      </c>
    </row>
    <row r="15" spans="1:6" ht="24" customHeight="1">
      <c r="A15" s="1701" t="s">
        <v>3033</v>
      </c>
      <c r="B15" s="1021">
        <f ca="1">IF(C15&lt;B2,"已过期",1120070085)</f>
        <v>1120070085</v>
      </c>
      <c r="C15" s="2342">
        <v>43814</v>
      </c>
      <c r="D15" s="2346" t="s">
        <v>3033</v>
      </c>
      <c r="E15" s="1021">
        <f ca="1">IF(F15&lt;B2,"已过期",2004110128)</f>
        <v>2004110128</v>
      </c>
      <c r="F15" s="1022">
        <v>47118</v>
      </c>
    </row>
    <row r="16" spans="1:6" ht="24" customHeight="1">
      <c r="A16" s="1700" t="s">
        <v>3034</v>
      </c>
      <c r="B16" s="1021">
        <f ca="1">IF(C16&lt;B2,"已过期",1120140022)</f>
        <v>1120140022</v>
      </c>
      <c r="C16" s="2924">
        <v>44029</v>
      </c>
      <c r="D16" s="2345" t="s">
        <v>3034</v>
      </c>
      <c r="E16" s="1021">
        <f ca="1">IF(F16&lt;B2,"已过期",2008110059)</f>
        <v>2008110059</v>
      </c>
      <c r="F16" s="1029">
        <v>47177</v>
      </c>
    </row>
    <row r="17" spans="1:7" ht="24" customHeight="1">
      <c r="A17" s="1700"/>
      <c r="B17" s="1021"/>
      <c r="C17" s="2342"/>
      <c r="D17" s="2345" t="s">
        <v>3035</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4">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49" t="s">
        <v>843</v>
      </c>
      <c r="B25" s="3049"/>
      <c r="C25" s="3049"/>
      <c r="D25" s="3049"/>
      <c r="E25" s="3049"/>
      <c r="F25" s="3049"/>
      <c r="G25" s="3049"/>
    </row>
    <row r="26" spans="1:7" s="1024" customFormat="1" ht="24" customHeight="1">
      <c r="A26" s="3050" t="s">
        <v>844</v>
      </c>
      <c r="B26" s="3050"/>
      <c r="C26" s="3051"/>
      <c r="D26" s="3052" t="s">
        <v>845</v>
      </c>
      <c r="E26" s="3050"/>
      <c r="F26" s="3050"/>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3039</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面积</vt:lpstr>
      <vt:lpstr>案例</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2019-09-18T06:16:16Z</dcterms:modified>
</cp:coreProperties>
</file>