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住宅案例" sheetId="63" r:id="rId38"/>
    <sheet name="商业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E13" i="1"/>
  <c r="D29" i="43"/>
  <c r="B41" i="1"/>
  <c r="E5" i="43"/>
  <c r="L3" i="59"/>
  <c r="K3"/>
  <c r="J3"/>
  <c r="I3"/>
  <c r="AH5"/>
  <c r="AG5"/>
  <c r="AE5"/>
  <c r="AF5"/>
  <c r="AD5"/>
  <c r="Q5"/>
  <c r="Q6"/>
  <c r="AB5"/>
  <c r="P5"/>
  <c r="P6"/>
  <c r="AA5"/>
  <c r="O5"/>
  <c r="O6"/>
  <c r="Y5"/>
  <c r="Z5"/>
  <c r="N5"/>
  <c r="N6"/>
  <c r="X5"/>
  <c r="F6"/>
  <c r="F5"/>
  <c r="E6"/>
  <c r="E5"/>
  <c r="C6"/>
  <c r="C5"/>
  <c r="D5"/>
  <c r="B6"/>
  <c r="B5"/>
  <c r="N7"/>
  <c r="B7"/>
  <c r="O7"/>
  <c r="C7"/>
  <c r="D6"/>
  <c r="P7"/>
  <c r="E7"/>
  <c r="Q7"/>
  <c r="F7"/>
  <c r="AD6"/>
  <c r="AE6"/>
  <c r="AF6"/>
  <c r="AG6"/>
  <c r="AH6"/>
  <c r="X6"/>
  <c r="Y6"/>
  <c r="Z6"/>
  <c r="AA6"/>
  <c r="AB6"/>
  <c r="D7"/>
  <c r="M19" i="43"/>
  <c r="M48" i="15"/>
  <c r="J54" s="1"/>
  <c r="B2" i="1"/>
  <c r="B23"/>
  <c r="B13" s="1"/>
  <c r="J50" i="15"/>
  <c r="J51"/>
  <c r="J52" s="1"/>
  <c r="B25" i="1"/>
  <c r="AH7" i="59"/>
  <c r="AG7"/>
  <c r="AE7"/>
  <c r="AF7"/>
  <c r="AD7"/>
  <c r="M49" i="9"/>
  <c r="AH8" i="59"/>
  <c r="AG8"/>
  <c r="AE8"/>
  <c r="AF8"/>
  <c r="AD8"/>
  <c r="Q8"/>
  <c r="AB7"/>
  <c r="P8"/>
  <c r="O8"/>
  <c r="Y7"/>
  <c r="Z7"/>
  <c r="N8"/>
  <c r="X7"/>
  <c r="Q9"/>
  <c r="P9"/>
  <c r="O9"/>
  <c r="N9"/>
  <c r="D9"/>
  <c r="AA7"/>
  <c r="E8"/>
  <c r="U8"/>
  <c r="F8"/>
  <c r="AB8"/>
  <c r="AA8"/>
  <c r="C8"/>
  <c r="T8"/>
  <c r="Y8"/>
  <c r="Z8"/>
  <c r="B8"/>
  <c r="S8"/>
  <c r="X8"/>
  <c r="A2" i="50"/>
  <c r="V8" i="59"/>
  <c r="D8"/>
  <c r="K60" i="15"/>
  <c r="P59"/>
  <c r="P72"/>
  <c r="A132" i="57"/>
  <c r="A130"/>
  <c r="A128"/>
  <c r="A126"/>
  <c r="A129" i="9"/>
  <c r="A127"/>
  <c r="A125"/>
  <c r="A123"/>
  <c r="A16" i="54"/>
  <c r="A14"/>
  <c r="A19" i="55"/>
  <c r="A13"/>
  <c r="A1" i="52"/>
  <c r="A4" i="50"/>
  <c r="P10" i="59"/>
  <c r="O10"/>
  <c r="N10"/>
  <c r="Q10"/>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O11" i="59"/>
  <c r="P11"/>
  <c r="Q11"/>
  <c r="N11"/>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X21"/>
  <c r="Y21"/>
  <c r="Z21"/>
  <c r="AA21"/>
  <c r="AB21"/>
  <c r="AB22"/>
  <c r="AA22"/>
  <c r="Y22"/>
  <c r="X22"/>
  <c r="AD3"/>
  <c r="AE3"/>
  <c r="AF3"/>
  <c r="AG3"/>
  <c r="AH3"/>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H23"/>
  <c r="AG23"/>
  <c r="AE23"/>
  <c r="AD23"/>
  <c r="AF23"/>
  <c r="AD24"/>
  <c r="AE24"/>
  <c r="AF24"/>
  <c r="AG24"/>
  <c r="AH24"/>
  <c r="S5" i="31"/>
  <c r="M5"/>
  <c r="N5"/>
  <c r="O5"/>
  <c r="P5"/>
  <c r="Q5"/>
  <c r="R5"/>
  <c r="C1" i="61"/>
  <c r="L1"/>
  <c r="J1"/>
  <c r="B68" i="60"/>
  <c r="D28" i="57"/>
  <c r="D29"/>
  <c r="D28" i="9"/>
  <c r="D29"/>
  <c r="A6" i="52"/>
  <c r="B64" i="60"/>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A8" i="52"/>
  <c r="B65" i="60"/>
  <c r="B18" i="50"/>
  <c r="B39"/>
  <c r="B15"/>
  <c r="B36"/>
  <c r="B10"/>
  <c r="B31"/>
  <c r="C6"/>
  <c r="A13" i="54"/>
  <c r="B51" i="60"/>
  <c r="B50"/>
  <c r="B47"/>
  <c r="B18"/>
  <c r="B16"/>
  <c r="B51" i="10"/>
  <c r="B49" i="60"/>
  <c r="A18" i="55"/>
  <c r="B48" i="60"/>
  <c r="A15" i="55"/>
  <c r="B45" i="60"/>
  <c r="A14" i="55"/>
  <c r="B44" i="60"/>
  <c r="B43"/>
  <c r="C10" i="50"/>
  <c r="B24" i="60" s="1"/>
  <c r="C7" i="50"/>
  <c r="C15" s="1"/>
  <c r="C18"/>
  <c r="B20" i="60"/>
  <c r="C35" i="50"/>
  <c r="C34"/>
  <c r="C33"/>
  <c r="C12"/>
  <c r="C13"/>
  <c r="B13" i="60"/>
  <c r="C42" i="50"/>
  <c r="C36"/>
  <c r="C39"/>
  <c r="I19" i="43"/>
  <c r="A135" i="57"/>
  <c r="F118"/>
  <c r="D73" i="59"/>
  <c r="F72"/>
  <c r="E72"/>
  <c r="E71"/>
  <c r="E70"/>
  <c r="C72"/>
  <c r="D72"/>
  <c r="B72"/>
  <c r="F71"/>
  <c r="F70"/>
  <c r="B71"/>
  <c r="B70"/>
  <c r="D69"/>
  <c r="F68"/>
  <c r="E68"/>
  <c r="E67"/>
  <c r="E66"/>
  <c r="C68"/>
  <c r="D68"/>
  <c r="B68"/>
  <c r="F67"/>
  <c r="F66"/>
  <c r="B67"/>
  <c r="B66"/>
  <c r="D65"/>
  <c r="S64"/>
  <c r="Q64"/>
  <c r="P64"/>
  <c r="O64"/>
  <c r="N64"/>
  <c r="F64"/>
  <c r="V64"/>
  <c r="E64"/>
  <c r="U64"/>
  <c r="C64"/>
  <c r="T64"/>
  <c r="B64"/>
  <c r="Q63"/>
  <c r="P63"/>
  <c r="O63"/>
  <c r="N63"/>
  <c r="F63"/>
  <c r="F62"/>
  <c r="B63"/>
  <c r="B62"/>
  <c r="Q62"/>
  <c r="P62"/>
  <c r="O62"/>
  <c r="N62"/>
  <c r="Q61"/>
  <c r="P61"/>
  <c r="O61"/>
  <c r="N61"/>
  <c r="D61"/>
  <c r="S60"/>
  <c r="Q60"/>
  <c r="P60"/>
  <c r="O60"/>
  <c r="N60"/>
  <c r="F60"/>
  <c r="V60"/>
  <c r="E60"/>
  <c r="U60"/>
  <c r="C60"/>
  <c r="T60"/>
  <c r="B60"/>
  <c r="Q59"/>
  <c r="P59"/>
  <c r="O59"/>
  <c r="N59"/>
  <c r="F59"/>
  <c r="F58"/>
  <c r="B59"/>
  <c r="B58"/>
  <c r="Q58"/>
  <c r="P58"/>
  <c r="O58"/>
  <c r="N58"/>
  <c r="Q57"/>
  <c r="P57"/>
  <c r="O57"/>
  <c r="N57"/>
  <c r="D57"/>
  <c r="S56"/>
  <c r="Q56"/>
  <c r="P56"/>
  <c r="O56"/>
  <c r="N56"/>
  <c r="F56"/>
  <c r="V56"/>
  <c r="E56"/>
  <c r="C56"/>
  <c r="B56"/>
  <c r="Q55"/>
  <c r="P55"/>
  <c r="O55"/>
  <c r="N55"/>
  <c r="F55"/>
  <c r="F54"/>
  <c r="B55"/>
  <c r="B54"/>
  <c r="Q54"/>
  <c r="P54"/>
  <c r="O54"/>
  <c r="N54"/>
  <c r="Q53"/>
  <c r="P53"/>
  <c r="O53"/>
  <c r="N53"/>
  <c r="D53"/>
  <c r="U52"/>
  <c r="S52"/>
  <c r="P52"/>
  <c r="N52"/>
  <c r="F52"/>
  <c r="V52"/>
  <c r="E52"/>
  <c r="E51"/>
  <c r="P51"/>
  <c r="C52"/>
  <c r="B52"/>
  <c r="F51"/>
  <c r="F50"/>
  <c r="Q50"/>
  <c r="B51"/>
  <c r="E50"/>
  <c r="P49"/>
  <c r="D49"/>
  <c r="Q48"/>
  <c r="P48"/>
  <c r="O48"/>
  <c r="N48"/>
  <c r="Q47"/>
  <c r="P47"/>
  <c r="O47"/>
  <c r="N47"/>
  <c r="F47"/>
  <c r="F48"/>
  <c r="V48"/>
  <c r="Q46"/>
  <c r="P46"/>
  <c r="O46"/>
  <c r="N46"/>
  <c r="E46"/>
  <c r="C46"/>
  <c r="Q45"/>
  <c r="F46"/>
  <c r="P45"/>
  <c r="O45"/>
  <c r="N45"/>
  <c r="B46"/>
  <c r="B47"/>
  <c r="B48"/>
  <c r="S48"/>
  <c r="D45"/>
  <c r="Q44"/>
  <c r="P44"/>
  <c r="O44"/>
  <c r="N44"/>
  <c r="Q43"/>
  <c r="P43"/>
  <c r="O43"/>
  <c r="N43"/>
  <c r="F43"/>
  <c r="F44"/>
  <c r="V44"/>
  <c r="Q42"/>
  <c r="P42"/>
  <c r="O42"/>
  <c r="N42"/>
  <c r="E42"/>
  <c r="C42"/>
  <c r="Q41"/>
  <c r="F42"/>
  <c r="P41"/>
  <c r="O41"/>
  <c r="N41"/>
  <c r="B42"/>
  <c r="B43"/>
  <c r="B44"/>
  <c r="S44"/>
  <c r="D41"/>
  <c r="Q40"/>
  <c r="P40"/>
  <c r="O40"/>
  <c r="N40"/>
  <c r="Q39"/>
  <c r="P39"/>
  <c r="O39"/>
  <c r="N39"/>
  <c r="F39"/>
  <c r="F40"/>
  <c r="V40"/>
  <c r="Q38"/>
  <c r="P38"/>
  <c r="O38"/>
  <c r="N38"/>
  <c r="E38"/>
  <c r="C38"/>
  <c r="Q37"/>
  <c r="F38"/>
  <c r="P37"/>
  <c r="O37"/>
  <c r="N37"/>
  <c r="B38"/>
  <c r="B39"/>
  <c r="B40"/>
  <c r="S40"/>
  <c r="D37"/>
  <c r="Q36"/>
  <c r="P36"/>
  <c r="O36"/>
  <c r="N36"/>
  <c r="Q35"/>
  <c r="P35"/>
  <c r="O35"/>
  <c r="N35"/>
  <c r="Q34"/>
  <c r="P34"/>
  <c r="O34"/>
  <c r="N34"/>
  <c r="E34"/>
  <c r="E35"/>
  <c r="E36"/>
  <c r="U36"/>
  <c r="Q33"/>
  <c r="F34"/>
  <c r="F35"/>
  <c r="F36"/>
  <c r="V36"/>
  <c r="P33"/>
  <c r="O33"/>
  <c r="C34"/>
  <c r="N33"/>
  <c r="B34"/>
  <c r="B35"/>
  <c r="B36"/>
  <c r="S36"/>
  <c r="D33"/>
  <c r="T32"/>
  <c r="Q32"/>
  <c r="P32"/>
  <c r="O32"/>
  <c r="N32"/>
  <c r="D32"/>
  <c r="Q31"/>
  <c r="P31"/>
  <c r="O31"/>
  <c r="N31"/>
  <c r="Q30"/>
  <c r="P30"/>
  <c r="O30"/>
  <c r="N30"/>
  <c r="F30"/>
  <c r="F31"/>
  <c r="F32"/>
  <c r="V32"/>
  <c r="Q29"/>
  <c r="P29"/>
  <c r="E30"/>
  <c r="E31"/>
  <c r="E32"/>
  <c r="U32"/>
  <c r="O29"/>
  <c r="C30"/>
  <c r="N29"/>
  <c r="B30"/>
  <c r="B31"/>
  <c r="B32"/>
  <c r="S32"/>
  <c r="D29"/>
  <c r="Q28"/>
  <c r="P28"/>
  <c r="O28"/>
  <c r="N28"/>
  <c r="Q27"/>
  <c r="P27"/>
  <c r="O27"/>
  <c r="N27"/>
  <c r="Q26"/>
  <c r="P26"/>
  <c r="O26"/>
  <c r="N26"/>
  <c r="F26"/>
  <c r="F27"/>
  <c r="F28"/>
  <c r="V28"/>
  <c r="Q25"/>
  <c r="P25"/>
  <c r="E26"/>
  <c r="E27"/>
  <c r="E28"/>
  <c r="U28"/>
  <c r="O25"/>
  <c r="C26"/>
  <c r="N25"/>
  <c r="B26"/>
  <c r="B27"/>
  <c r="B28"/>
  <c r="S28"/>
  <c r="D25"/>
  <c r="Q24"/>
  <c r="P24"/>
  <c r="O24"/>
  <c r="N24"/>
  <c r="AB23"/>
  <c r="Q23"/>
  <c r="P23"/>
  <c r="AA23"/>
  <c r="O23"/>
  <c r="Y23"/>
  <c r="Z23"/>
  <c r="N23"/>
  <c r="X23"/>
  <c r="Z22"/>
  <c r="Q22"/>
  <c r="P22"/>
  <c r="O22"/>
  <c r="N22"/>
  <c r="F22"/>
  <c r="F23"/>
  <c r="F24"/>
  <c r="V24"/>
  <c r="Q21"/>
  <c r="P21"/>
  <c r="E22"/>
  <c r="E23"/>
  <c r="E24"/>
  <c r="U24"/>
  <c r="O21"/>
  <c r="C22"/>
  <c r="N21"/>
  <c r="B22"/>
  <c r="B23"/>
  <c r="B24"/>
  <c r="S24"/>
  <c r="D21"/>
  <c r="Q20"/>
  <c r="P20"/>
  <c r="O20"/>
  <c r="N20"/>
  <c r="Q19"/>
  <c r="P19"/>
  <c r="O19"/>
  <c r="N19"/>
  <c r="Q18"/>
  <c r="P18"/>
  <c r="O18"/>
  <c r="N18"/>
  <c r="F18"/>
  <c r="F19"/>
  <c r="F20"/>
  <c r="V20"/>
  <c r="Q17"/>
  <c r="P17"/>
  <c r="E18"/>
  <c r="E19"/>
  <c r="E20"/>
  <c r="U20"/>
  <c r="O17"/>
  <c r="C18"/>
  <c r="N17"/>
  <c r="B18"/>
  <c r="B19"/>
  <c r="B20"/>
  <c r="S20"/>
  <c r="D17"/>
  <c r="Q16"/>
  <c r="P16"/>
  <c r="O16"/>
  <c r="N16"/>
  <c r="Q15"/>
  <c r="P15"/>
  <c r="O15"/>
  <c r="N15"/>
  <c r="Q14"/>
  <c r="P14"/>
  <c r="O14"/>
  <c r="N14"/>
  <c r="F14"/>
  <c r="F15"/>
  <c r="F16"/>
  <c r="V16"/>
  <c r="Q13"/>
  <c r="P13"/>
  <c r="E14"/>
  <c r="E15"/>
  <c r="E16"/>
  <c r="U16"/>
  <c r="O13"/>
  <c r="C14"/>
  <c r="N13"/>
  <c r="B14"/>
  <c r="B15"/>
  <c r="B16"/>
  <c r="S16"/>
  <c r="D13"/>
  <c r="O12"/>
  <c r="N12"/>
  <c r="C12"/>
  <c r="T12"/>
  <c r="Y3"/>
  <c r="Z3"/>
  <c r="Y9"/>
  <c r="Z9"/>
  <c r="Y10"/>
  <c r="Z10"/>
  <c r="Y12"/>
  <c r="Z12"/>
  <c r="Y11"/>
  <c r="Z11"/>
  <c r="B12"/>
  <c r="X12"/>
  <c r="X11"/>
  <c r="X3"/>
  <c r="X9"/>
  <c r="X10"/>
  <c r="C15"/>
  <c r="D14"/>
  <c r="C19"/>
  <c r="D18"/>
  <c r="C23"/>
  <c r="D22"/>
  <c r="C27"/>
  <c r="D26"/>
  <c r="C31"/>
  <c r="D31"/>
  <c r="D30"/>
  <c r="C35"/>
  <c r="D34"/>
  <c r="P12"/>
  <c r="E39"/>
  <c r="E40"/>
  <c r="U40"/>
  <c r="E43"/>
  <c r="E44"/>
  <c r="U44"/>
  <c r="E47"/>
  <c r="E48"/>
  <c r="U48"/>
  <c r="Q49"/>
  <c r="P50"/>
  <c r="U56"/>
  <c r="E55"/>
  <c r="E54"/>
  <c r="Q12"/>
  <c r="C39"/>
  <c r="D38"/>
  <c r="C43"/>
  <c r="D42"/>
  <c r="C47"/>
  <c r="D46"/>
  <c r="N51"/>
  <c r="B50"/>
  <c r="Q51"/>
  <c r="T52"/>
  <c r="O52"/>
  <c r="D52"/>
  <c r="C51"/>
  <c r="T56"/>
  <c r="D56"/>
  <c r="C55"/>
  <c r="Q52"/>
  <c r="C59"/>
  <c r="E59"/>
  <c r="E58"/>
  <c r="D60"/>
  <c r="C63"/>
  <c r="E63"/>
  <c r="E62"/>
  <c r="D64"/>
  <c r="C67"/>
  <c r="C71"/>
  <c r="B11"/>
  <c r="B10"/>
  <c r="S12"/>
  <c r="F12"/>
  <c r="AB3"/>
  <c r="AB9"/>
  <c r="AB10"/>
  <c r="AB11"/>
  <c r="AB12"/>
  <c r="E12"/>
  <c r="AA10"/>
  <c r="AA11"/>
  <c r="AA12"/>
  <c r="AA3"/>
  <c r="AA9"/>
  <c r="C11"/>
  <c r="D12"/>
  <c r="D67"/>
  <c r="C66"/>
  <c r="D66"/>
  <c r="D59"/>
  <c r="C58"/>
  <c r="D58"/>
  <c r="C54"/>
  <c r="D54"/>
  <c r="D55"/>
  <c r="C36"/>
  <c r="D35"/>
  <c r="D71"/>
  <c r="C70"/>
  <c r="D70"/>
  <c r="D63"/>
  <c r="C62"/>
  <c r="D62"/>
  <c r="C50"/>
  <c r="O51"/>
  <c r="D51"/>
  <c r="C48"/>
  <c r="D47"/>
  <c r="C44"/>
  <c r="D43"/>
  <c r="C40"/>
  <c r="D39"/>
  <c r="N49"/>
  <c r="N50"/>
  <c r="C28"/>
  <c r="D27"/>
  <c r="C24"/>
  <c r="D23"/>
  <c r="C20"/>
  <c r="D19"/>
  <c r="C16"/>
  <c r="D15"/>
  <c r="D11"/>
  <c r="C10"/>
  <c r="D10"/>
  <c r="E11"/>
  <c r="E10"/>
  <c r="U12"/>
  <c r="F11"/>
  <c r="F10"/>
  <c r="V12"/>
  <c r="O50"/>
  <c r="D50"/>
  <c r="O49"/>
  <c r="T36"/>
  <c r="D36"/>
  <c r="T16"/>
  <c r="D16"/>
  <c r="T20"/>
  <c r="D20"/>
  <c r="T24"/>
  <c r="D24"/>
  <c r="T28"/>
  <c r="D28"/>
  <c r="T40"/>
  <c r="D40"/>
  <c r="T44"/>
  <c r="D44"/>
  <c r="T48"/>
  <c r="D48"/>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C22"/>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2" i="58"/>
  <c r="C31"/>
  <c r="C30"/>
  <c r="C27"/>
  <c r="E26"/>
  <c r="I23"/>
  <c r="D20"/>
  <c r="I19"/>
  <c r="I18"/>
  <c r="I17"/>
  <c r="I20"/>
  <c r="E15"/>
  <c r="I14"/>
  <c r="I13"/>
  <c r="I12"/>
  <c r="I15"/>
  <c r="I9"/>
  <c r="I8"/>
  <c r="I7"/>
  <c r="I6"/>
  <c r="I5"/>
  <c r="I4"/>
  <c r="I3"/>
  <c r="I10"/>
  <c r="I21"/>
  <c r="D1"/>
  <c r="E10"/>
  <c r="G57" i="40"/>
  <c r="G56"/>
  <c r="C56" s="1"/>
  <c r="B21" i="50"/>
  <c r="B42"/>
  <c r="D1" i="43"/>
  <c r="F113"/>
  <c r="N99"/>
  <c r="N108" s="1"/>
  <c r="M99"/>
  <c r="M108" s="1"/>
  <c r="L99"/>
  <c r="L108" s="1"/>
  <c r="K99"/>
  <c r="K108" s="1"/>
  <c r="J99"/>
  <c r="J108" s="1"/>
  <c r="I99"/>
  <c r="I108" s="1"/>
  <c r="H99"/>
  <c r="H108" s="1"/>
  <c r="G99"/>
  <c r="G108" s="1"/>
  <c r="F99"/>
  <c r="F108" s="1"/>
  <c r="E99"/>
  <c r="E108" s="1"/>
  <c r="D99"/>
  <c r="D108" s="1"/>
  <c r="C99"/>
  <c r="C108" s="1"/>
  <c r="C100"/>
  <c r="G100"/>
  <c r="K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s="1"/>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c r="D126"/>
  <c r="D101"/>
  <c r="C101"/>
  <c r="C92"/>
  <c r="E91"/>
  <c r="D90"/>
  <c r="C90" s="1"/>
  <c r="C88" s="1"/>
  <c r="H78"/>
  <c r="D78"/>
  <c r="C78" s="1"/>
  <c r="C75" s="1"/>
  <c r="F60"/>
  <c r="O56"/>
  <c r="E60"/>
  <c r="N56"/>
  <c r="D60"/>
  <c r="M56" s="1"/>
  <c r="F57"/>
  <c r="K56"/>
  <c r="I56"/>
  <c r="F56"/>
  <c r="O54" s="1"/>
  <c r="O55"/>
  <c r="N55"/>
  <c r="N54"/>
  <c r="E49"/>
  <c r="N53"/>
  <c r="D27"/>
  <c r="C24"/>
  <c r="H19"/>
  <c r="D17"/>
  <c r="C17"/>
  <c r="L4"/>
  <c r="K4"/>
  <c r="B32" i="9"/>
  <c r="C23" i="31"/>
  <c r="C2" i="36"/>
  <c r="F2" s="1"/>
  <c r="C2" i="35"/>
  <c r="C2" i="37"/>
  <c r="F2" s="1"/>
  <c r="C2" i="34"/>
  <c r="C2" i="33"/>
  <c r="C2" i="21"/>
  <c r="C2" i="15"/>
  <c r="P73" s="1"/>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23" i="48"/>
  <c r="H24"/>
  <c r="D24"/>
  <c r="D21"/>
  <c r="B21" i="49"/>
  <c r="B5" i="60"/>
  <c r="B12" i="49"/>
  <c r="B3" i="60"/>
  <c r="B2" i="48"/>
  <c r="F21" s="1"/>
  <c r="H21" s="1"/>
  <c r="I2" i="43"/>
  <c r="H6" i="44"/>
  <c r="G2" i="43"/>
  <c r="E30" i="4"/>
  <c r="C7"/>
  <c r="G3" i="43"/>
  <c r="C121" i="9"/>
  <c r="C4" i="52"/>
  <c r="B36" i="60"/>
  <c r="B121" i="9"/>
  <c r="B4" i="52" s="1"/>
  <c r="A40" i="1"/>
  <c r="A39"/>
  <c r="A38"/>
  <c r="A37"/>
  <c r="A36"/>
  <c r="A29"/>
  <c r="A34"/>
  <c r="D111" i="9"/>
  <c r="I108"/>
  <c r="D110"/>
  <c r="I107"/>
  <c r="D109"/>
  <c r="I106"/>
  <c r="I105"/>
  <c r="H101"/>
  <c r="J35" i="15"/>
  <c r="Q69" s="1"/>
  <c r="F27" i="11"/>
  <c r="F36"/>
  <c r="M28" i="15"/>
  <c r="M26"/>
  <c r="F42"/>
  <c r="F40"/>
  <c r="F69"/>
  <c r="C57" i="40"/>
  <c r="G55"/>
  <c r="C55" s="1"/>
  <c r="G54"/>
  <c r="C54" s="1"/>
  <c r="G53"/>
  <c r="C53" s="1"/>
  <c r="G52"/>
  <c r="C52" s="1"/>
  <c r="G57" i="39"/>
  <c r="C57" s="1"/>
  <c r="G63"/>
  <c r="G65" s="1"/>
  <c r="C65" s="1"/>
  <c r="G62"/>
  <c r="C62"/>
  <c r="G61"/>
  <c r="C61"/>
  <c r="G60"/>
  <c r="C60"/>
  <c r="G59"/>
  <c r="C59"/>
  <c r="G58"/>
  <c r="C58" s="1"/>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c r="M18" i="15" s="1"/>
  <c r="G1"/>
  <c r="F35" i="11"/>
  <c r="F38"/>
  <c r="E37"/>
  <c r="F20"/>
  <c r="F21"/>
  <c r="C40" s="1"/>
  <c r="C47" s="1"/>
  <c r="D45" s="1"/>
  <c r="F7"/>
  <c r="F12" i="12"/>
  <c r="F13"/>
  <c r="F15"/>
  <c r="E14"/>
  <c r="E19"/>
  <c r="E20"/>
  <c r="E17"/>
  <c r="F22"/>
  <c r="F23"/>
  <c r="F24"/>
  <c r="C24" s="1"/>
  <c r="C29" s="1"/>
  <c r="D28" s="1"/>
  <c r="C17" i="9"/>
  <c r="D17"/>
  <c r="I55"/>
  <c r="F55" s="1"/>
  <c r="O53" s="1"/>
  <c r="D89"/>
  <c r="C89" s="1"/>
  <c r="C87" s="1"/>
  <c r="E15" i="1"/>
  <c r="E19" i="11"/>
  <c r="E40" i="1"/>
  <c r="F34" i="15" s="1"/>
  <c r="E59" i="9"/>
  <c r="N55"/>
  <c r="F59"/>
  <c r="O55"/>
  <c r="N54"/>
  <c r="N53"/>
  <c r="E48"/>
  <c r="N52"/>
  <c r="F56"/>
  <c r="O54"/>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c r="J118" s="1"/>
  <c r="K118" s="1"/>
  <c r="L118" s="1"/>
  <c r="M118" s="1"/>
  <c r="M101"/>
  <c r="M103"/>
  <c r="K101"/>
  <c r="I101"/>
  <c r="I102" s="1"/>
  <c r="G101"/>
  <c r="G107" s="1"/>
  <c r="E101"/>
  <c r="E103" s="1"/>
  <c r="C101"/>
  <c r="N101"/>
  <c r="N107" s="1"/>
  <c r="L101"/>
  <c r="L107" s="1"/>
  <c r="J101"/>
  <c r="J103" s="1"/>
  <c r="H101"/>
  <c r="H102" s="1"/>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s="1"/>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M9"/>
  <c r="M1"/>
  <c r="N3"/>
  <c r="F48" s="1"/>
  <c r="A121" i="9"/>
  <c r="N5" i="43"/>
  <c r="F101" i="9"/>
  <c r="M4" i="43"/>
  <c r="F33" i="9"/>
  <c r="C25" i="57"/>
  <c r="F107" i="43"/>
  <c r="C102"/>
  <c r="K104"/>
  <c r="D103"/>
  <c r="H106"/>
  <c r="M105"/>
  <c r="G4" i="47"/>
  <c r="F59" i="43"/>
  <c r="H63" s="1"/>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G26" i="47"/>
  <c r="K53" i="43"/>
  <c r="J53" s="1"/>
  <c r="D53"/>
  <c r="M53"/>
  <c r="N53"/>
  <c r="K49"/>
  <c r="J49" s="1"/>
  <c r="D49"/>
  <c r="M49"/>
  <c r="N49"/>
  <c r="K54"/>
  <c r="J54" s="1"/>
  <c r="D54"/>
  <c r="M54"/>
  <c r="N54"/>
  <c r="K50"/>
  <c r="J50" s="1"/>
  <c r="D50"/>
  <c r="M50"/>
  <c r="N50"/>
  <c r="K55"/>
  <c r="J55" s="1"/>
  <c r="D55"/>
  <c r="M55"/>
  <c r="N55"/>
  <c r="K51"/>
  <c r="J51" s="1"/>
  <c r="D51"/>
  <c r="M51"/>
  <c r="N51"/>
  <c r="K48"/>
  <c r="J48" s="1"/>
  <c r="D48"/>
  <c r="M48"/>
  <c r="N48"/>
  <c r="K52"/>
  <c r="J52" s="1"/>
  <c r="D52"/>
  <c r="M52"/>
  <c r="N52"/>
  <c r="K56"/>
  <c r="J56" s="1"/>
  <c r="D56"/>
  <c r="M56"/>
  <c r="N56"/>
  <c r="C115" i="57"/>
  <c r="H111" s="1"/>
  <c r="F43" i="15"/>
  <c r="F72" s="1"/>
  <c r="D93" i="9"/>
  <c r="D37" i="11"/>
  <c r="C37" s="1"/>
  <c r="M29" i="15"/>
  <c r="P51"/>
  <c r="D10" i="11"/>
  <c r="C10" s="1"/>
  <c r="C2" i="31"/>
  <c r="I23" s="1"/>
  <c r="B23"/>
  <c r="P60" i="15"/>
  <c r="D3" i="35"/>
  <c r="D3" i="34"/>
  <c r="D78" i="9"/>
  <c r="D94" i="57"/>
  <c r="D79"/>
  <c r="C114"/>
  <c r="H109" s="1"/>
  <c r="C112"/>
  <c r="H107" s="1"/>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s="1"/>
  <c r="L103" i="43"/>
  <c r="K107"/>
  <c r="C106"/>
  <c r="D3" i="21"/>
  <c r="H73" i="43"/>
  <c r="N9"/>
  <c r="M6"/>
  <c r="N11"/>
  <c r="M5"/>
  <c r="N2"/>
  <c r="F81"/>
  <c r="H85" s="1"/>
  <c r="N10"/>
  <c r="H13" i="44"/>
  <c r="H5"/>
  <c r="G59" i="40"/>
  <c r="C59"/>
  <c r="H11" i="44"/>
  <c r="A6" i="54"/>
  <c r="B7" i="60" s="1"/>
  <c r="C51" i="10"/>
  <c r="A8" i="54"/>
  <c r="B8" i="60" s="1"/>
  <c r="F2" i="21"/>
  <c r="F2" i="34"/>
  <c r="F2" i="35"/>
  <c r="F2" i="33"/>
  <c r="S29" i="31"/>
  <c r="C109" i="9"/>
  <c r="H106" s="1"/>
  <c r="C111"/>
  <c r="H108" s="1"/>
  <c r="H105"/>
  <c r="C110"/>
  <c r="H107"/>
  <c r="D35" i="57"/>
  <c r="C117"/>
  <c r="H113" s="1"/>
  <c r="C114" i="9"/>
  <c r="H112" s="1"/>
  <c r="B104" i="57"/>
  <c r="C119"/>
  <c r="H115"/>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D69" i="57"/>
  <c r="F31" i="12"/>
  <c r="F48" i="9"/>
  <c r="O52" s="1"/>
  <c r="F32" i="15"/>
  <c r="F61" s="1"/>
  <c r="F49" i="57"/>
  <c r="O53" s="1"/>
  <c r="F53"/>
  <c r="D68" i="9"/>
  <c r="G22" i="11"/>
  <c r="G41"/>
  <c r="H113" i="43"/>
  <c r="X7"/>
  <c r="E59"/>
  <c r="B57"/>
  <c r="E70"/>
  <c r="B68"/>
  <c r="H22"/>
  <c r="AI11"/>
  <c r="AI13"/>
  <c r="AG11"/>
  <c r="AG13"/>
  <c r="AE11"/>
  <c r="AE13"/>
  <c r="AC11"/>
  <c r="AC13"/>
  <c r="AA11"/>
  <c r="AA13"/>
  <c r="Y11"/>
  <c r="Y13"/>
  <c r="S6"/>
  <c r="S2"/>
  <c r="AJ11"/>
  <c r="AJ13"/>
  <c r="AH11"/>
  <c r="AH13"/>
  <c r="AF11"/>
  <c r="AF13"/>
  <c r="AD11"/>
  <c r="AD13"/>
  <c r="AB11"/>
  <c r="AB13"/>
  <c r="Z11"/>
  <c r="Z13"/>
  <c r="Z7"/>
  <c r="S7"/>
  <c r="S5"/>
  <c r="S3"/>
  <c r="S4"/>
  <c r="E9"/>
  <c r="E8"/>
  <c r="E10"/>
  <c r="E11"/>
  <c r="H60"/>
  <c r="C7" i="39"/>
  <c r="C68"/>
  <c r="C70" s="1"/>
  <c r="C53" i="10"/>
  <c r="D123" i="9"/>
  <c r="D124"/>
  <c r="D7" i="52"/>
  <c r="M48" i="57"/>
  <c r="B58" i="60"/>
  <c r="A12" i="52"/>
  <c r="B67" i="60"/>
  <c r="L105" i="43"/>
  <c r="H105"/>
  <c r="H107"/>
  <c r="D104"/>
  <c r="K106"/>
  <c r="K102"/>
  <c r="G105"/>
  <c r="C104"/>
  <c r="C107"/>
  <c r="A4" i="52"/>
  <c r="A124" i="57"/>
  <c r="M47" i="9"/>
  <c r="N104" i="46"/>
  <c r="J17" i="43"/>
  <c r="C7" i="21"/>
  <c r="C58" s="1"/>
  <c r="C7" i="33"/>
  <c r="C58" s="1"/>
  <c r="C7" i="37"/>
  <c r="C52" s="1"/>
  <c r="H59" i="43"/>
  <c r="H61"/>
  <c r="H77"/>
  <c r="H78"/>
  <c r="I104"/>
  <c r="I115"/>
  <c r="J115" s="1"/>
  <c r="K115" s="1"/>
  <c r="L115" s="1"/>
  <c r="M115" s="1"/>
  <c r="L106"/>
  <c r="L104"/>
  <c r="L102"/>
  <c r="H104"/>
  <c r="H103"/>
  <c r="D105"/>
  <c r="D106"/>
  <c r="D102"/>
  <c r="K105"/>
  <c r="K103"/>
  <c r="G106"/>
  <c r="G104"/>
  <c r="G102"/>
  <c r="C105"/>
  <c r="C103"/>
  <c r="H70"/>
  <c r="H75"/>
  <c r="H71"/>
  <c r="H76"/>
  <c r="D115"/>
  <c r="E115" s="1"/>
  <c r="F115" s="1"/>
  <c r="G115" s="1"/>
  <c r="H115" s="1"/>
  <c r="B117"/>
  <c r="C117"/>
  <c r="I107"/>
  <c r="N106"/>
  <c r="J105"/>
  <c r="F104"/>
  <c r="G37" i="47"/>
  <c r="C23" i="43"/>
  <c r="G19"/>
  <c r="P25" s="1"/>
  <c r="F36"/>
  <c r="C17"/>
  <c r="F35"/>
  <c r="F37"/>
  <c r="F39"/>
  <c r="G17"/>
  <c r="C16" s="1"/>
  <c r="D5" s="1"/>
  <c r="C7" i="34"/>
  <c r="C59"/>
  <c r="D59" s="1"/>
  <c r="C7" i="36"/>
  <c r="C46" s="1"/>
  <c r="F38" i="43"/>
  <c r="A10" i="52"/>
  <c r="B66" i="60"/>
  <c r="J20" i="15"/>
  <c r="H86" i="43"/>
  <c r="K86"/>
  <c r="J86"/>
  <c r="D86"/>
  <c r="H87"/>
  <c r="M87"/>
  <c r="N87"/>
  <c r="H82"/>
  <c r="K82"/>
  <c r="J82"/>
  <c r="D82"/>
  <c r="H83"/>
  <c r="M83"/>
  <c r="N83"/>
  <c r="H64"/>
  <c r="H65"/>
  <c r="I116"/>
  <c r="J116"/>
  <c r="K116" s="1"/>
  <c r="L116" s="1"/>
  <c r="M116" s="1"/>
  <c r="D117"/>
  <c r="E117" s="1"/>
  <c r="F117" s="1"/>
  <c r="G117" s="1"/>
  <c r="H117" s="1"/>
  <c r="B118"/>
  <c r="C118"/>
  <c r="B116"/>
  <c r="C116"/>
  <c r="I106"/>
  <c r="E105"/>
  <c r="N104"/>
  <c r="F106"/>
  <c r="M12"/>
  <c r="H15" i="44"/>
  <c r="M8" i="43"/>
  <c r="M2"/>
  <c r="M10"/>
  <c r="N7"/>
  <c r="N1"/>
  <c r="M3"/>
  <c r="C6" s="1"/>
  <c r="M7"/>
  <c r="M11"/>
  <c r="N4"/>
  <c r="N8"/>
  <c r="N12"/>
  <c r="H8" i="44"/>
  <c r="H10"/>
  <c r="D22" i="43"/>
  <c r="H7" i="44"/>
  <c r="H12"/>
  <c r="H9"/>
  <c r="C63" i="39"/>
  <c r="G64"/>
  <c r="C64"/>
  <c r="M85" i="43"/>
  <c r="N85"/>
  <c r="K85"/>
  <c r="J85"/>
  <c r="D85"/>
  <c r="M82"/>
  <c r="N82"/>
  <c r="K83"/>
  <c r="J83"/>
  <c r="D83"/>
  <c r="H88"/>
  <c r="H84"/>
  <c r="H81"/>
  <c r="H66"/>
  <c r="H62"/>
  <c r="H67"/>
  <c r="F60" i="15"/>
  <c r="F103" i="43"/>
  <c r="F105"/>
  <c r="J107"/>
  <c r="J102"/>
  <c r="J104"/>
  <c r="J106"/>
  <c r="N103"/>
  <c r="N105"/>
  <c r="E107"/>
  <c r="E102"/>
  <c r="E104"/>
  <c r="E106"/>
  <c r="I103"/>
  <c r="I105"/>
  <c r="M107"/>
  <c r="M102"/>
  <c r="M104"/>
  <c r="M106"/>
  <c r="B115"/>
  <c r="C115" s="1"/>
  <c r="D113" s="1"/>
  <c r="I117"/>
  <c r="J117"/>
  <c r="K117" s="1"/>
  <c r="L117" s="1"/>
  <c r="M117" s="1"/>
  <c r="D116"/>
  <c r="E116" s="1"/>
  <c r="F116" s="1"/>
  <c r="G116" s="1"/>
  <c r="H116" s="1"/>
  <c r="D118"/>
  <c r="E118"/>
  <c r="F118" s="1"/>
  <c r="G118"/>
  <c r="H118" s="1"/>
  <c r="M7" i="15"/>
  <c r="M17"/>
  <c r="F35"/>
  <c r="F64"/>
  <c r="E18" i="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S25"/>
  <c r="R25"/>
  <c r="B24" s="1"/>
  <c r="B3" s="1"/>
  <c r="C34" i="57" s="1"/>
  <c r="I124" s="1"/>
  <c r="J6" i="15"/>
  <c r="C18" i="12"/>
  <c r="F34" i="11"/>
  <c r="E19" i="1"/>
  <c r="D20"/>
  <c r="D18"/>
  <c r="F50" i="11"/>
  <c r="F19" i="1"/>
  <c r="F18"/>
  <c r="D19"/>
  <c r="K87" i="43"/>
  <c r="J87"/>
  <c r="D87"/>
  <c r="E3" i="4"/>
  <c r="B5" i="55"/>
  <c r="B55" i="60"/>
  <c r="C7" i="43"/>
  <c r="C3" i="4"/>
  <c r="B4" i="55"/>
  <c r="B53" i="60"/>
  <c r="P23" i="43"/>
  <c r="K106" i="9"/>
  <c r="O19" i="43"/>
  <c r="J22"/>
  <c r="M84"/>
  <c r="N84"/>
  <c r="K84"/>
  <c r="J84"/>
  <c r="D84"/>
  <c r="M81"/>
  <c r="N81"/>
  <c r="K81"/>
  <c r="J81"/>
  <c r="D81"/>
  <c r="M88"/>
  <c r="N88"/>
  <c r="K88"/>
  <c r="J88"/>
  <c r="D88"/>
  <c r="B2" i="31"/>
  <c r="C33" i="57" s="1"/>
  <c r="H124" s="1"/>
  <c r="I113"/>
  <c r="D130" s="1"/>
  <c r="H14" i="62" s="1"/>
  <c r="B7" s="1"/>
  <c r="B40" i="1"/>
  <c r="M27" i="15" s="1"/>
  <c r="C11" i="12"/>
  <c r="C12" s="1"/>
  <c r="C34" i="11"/>
  <c r="C14" i="15"/>
  <c r="C15" s="1"/>
  <c r="E81" i="43"/>
  <c r="B79"/>
  <c r="C15" i="12"/>
  <c r="C13"/>
  <c r="C36" i="11"/>
  <c r="C38"/>
  <c r="C35"/>
  <c r="D117" i="57"/>
  <c r="D118"/>
  <c r="I114" s="1"/>
  <c r="D131" s="1"/>
  <c r="D133"/>
  <c r="M57"/>
  <c r="D119"/>
  <c r="I115"/>
  <c r="D132" s="1"/>
  <c r="I14" i="62" s="1"/>
  <c r="B8" s="1"/>
  <c r="D8" s="1"/>
  <c r="M56" i="9"/>
  <c r="D130"/>
  <c r="D13" i="52"/>
  <c r="I112" i="9"/>
  <c r="D114"/>
  <c r="D115"/>
  <c r="I113" s="1"/>
  <c r="D41" i="50"/>
  <c r="B63" i="60" s="1"/>
  <c r="D39" i="50"/>
  <c r="D40"/>
  <c r="D18"/>
  <c r="D127" i="9"/>
  <c r="D10" i="52"/>
  <c r="D19" i="50"/>
  <c r="B32" i="60" s="1"/>
  <c r="B31"/>
  <c r="L67" i="9"/>
  <c r="M67"/>
  <c r="L65"/>
  <c r="M65"/>
  <c r="L66"/>
  <c r="M66"/>
  <c r="L68"/>
  <c r="M68"/>
  <c r="L63"/>
  <c r="M63"/>
  <c r="L64"/>
  <c r="M64"/>
  <c r="M69"/>
  <c r="N69"/>
  <c r="I114"/>
  <c r="D116"/>
  <c r="D129"/>
  <c r="D12" i="52"/>
  <c r="D21" i="50"/>
  <c r="B33" i="60" s="1"/>
  <c r="D42" i="50"/>
  <c r="D43" s="1"/>
  <c r="D22"/>
  <c r="B35" i="60" s="1"/>
  <c r="D23" i="48"/>
  <c r="B18" i="49"/>
  <c r="B4" i="60"/>
  <c r="H23" i="31"/>
  <c r="D20" i="57"/>
  <c r="E2" i="11"/>
  <c r="E2" i="33"/>
  <c r="D3" i="61"/>
  <c r="E2" i="35"/>
  <c r="D19" i="57"/>
  <c r="F4" i="61"/>
  <c r="E2" i="36"/>
  <c r="D7" i="61"/>
  <c r="D5"/>
  <c r="F6"/>
  <c r="E2" i="34"/>
  <c r="F3" i="61"/>
  <c r="C19" i="57"/>
  <c r="E2" i="37"/>
  <c r="F7" i="61"/>
  <c r="F5"/>
  <c r="D4"/>
  <c r="E2" i="21"/>
  <c r="D6" i="61"/>
  <c r="C20" i="57"/>
  <c r="F8" i="48" l="1"/>
  <c r="H8" s="1"/>
  <c r="E48" i="43"/>
  <c r="B46" s="1"/>
  <c r="C24" s="1"/>
  <c r="H100"/>
  <c r="L100"/>
  <c r="D100"/>
  <c r="C21"/>
  <c r="D109"/>
  <c r="F109"/>
  <c r="H109"/>
  <c r="J109"/>
  <c r="L109"/>
  <c r="N109"/>
  <c r="G103"/>
  <c r="N102"/>
  <c r="C109"/>
  <c r="E109"/>
  <c r="G109"/>
  <c r="I109"/>
  <c r="K109"/>
  <c r="M109"/>
  <c r="N100"/>
  <c r="J100"/>
  <c r="F100"/>
  <c r="M100"/>
  <c r="I100"/>
  <c r="E100"/>
  <c r="H56"/>
  <c r="H49"/>
  <c r="H48"/>
  <c r="H53"/>
  <c r="H50"/>
  <c r="H54"/>
  <c r="H55"/>
  <c r="H51"/>
  <c r="H52"/>
  <c r="C5"/>
  <c r="B5" i="48"/>
  <c r="D5" s="1"/>
  <c r="B14"/>
  <c r="D14" s="1"/>
  <c r="N60" i="15"/>
  <c r="M60"/>
  <c r="L60"/>
  <c r="C34"/>
  <c r="F63"/>
  <c r="C63" s="1"/>
  <c r="C94" i="9"/>
  <c r="C92"/>
  <c r="C93" i="57"/>
  <c r="C95"/>
  <c r="B22" i="48"/>
  <c r="D22" s="1"/>
  <c r="B13"/>
  <c r="D13" s="1"/>
  <c r="F15"/>
  <c r="H15" s="1"/>
  <c r="F10"/>
  <c r="H10" s="1"/>
  <c r="F9"/>
  <c r="H9" s="1"/>
  <c r="F53" i="9"/>
  <c r="F54"/>
  <c r="F55" i="57"/>
  <c r="F28" i="15"/>
  <c r="C28" s="1"/>
  <c r="F30" i="11"/>
  <c r="F52" i="9"/>
  <c r="F54" i="57"/>
  <c r="C16" i="12"/>
  <c r="C21" s="1"/>
  <c r="C22" s="1"/>
  <c r="C16" i="15"/>
  <c r="C18"/>
  <c r="L49"/>
  <c r="L57" s="1"/>
  <c r="I20" i="43"/>
  <c r="B14" i="1"/>
  <c r="J58" i="15"/>
  <c r="J56" s="1"/>
  <c r="J59" s="1"/>
  <c r="Q48" s="1"/>
  <c r="B33" i="1"/>
  <c r="F41" i="15" s="1"/>
  <c r="F70" s="1"/>
  <c r="Q50"/>
  <c r="C33" i="11"/>
  <c r="C39" s="1"/>
  <c r="C46" s="1"/>
  <c r="C45" s="1"/>
  <c r="C14" i="50"/>
  <c r="C7" i="62"/>
  <c r="D7"/>
  <c r="I103" i="57"/>
  <c r="D109"/>
  <c r="D115" s="1"/>
  <c r="C106"/>
  <c r="H125"/>
  <c r="I104"/>
  <c r="D110"/>
  <c r="C107"/>
  <c r="D125"/>
  <c r="E124"/>
  <c r="F125"/>
  <c r="G124"/>
  <c r="D120"/>
  <c r="I116" s="1"/>
  <c r="C21" i="50"/>
  <c r="M50" i="57"/>
  <c r="D128" i="9"/>
  <c r="D11" i="52" s="1"/>
  <c r="D20" i="50"/>
  <c r="C6" i="15"/>
  <c r="F51"/>
  <c r="C50" s="1"/>
  <c r="C23" i="12"/>
  <c r="C31"/>
  <c r="C30"/>
  <c r="C28" s="1"/>
  <c r="F7" i="36"/>
  <c r="D46"/>
  <c r="E46" s="1"/>
  <c r="F46" s="1"/>
  <c r="G46" s="1"/>
  <c r="H46" s="1"/>
  <c r="I46" s="1"/>
  <c r="J46" s="1"/>
  <c r="K46" s="1"/>
  <c r="L46" s="1"/>
  <c r="M46" s="1"/>
  <c r="N46" s="1"/>
  <c r="O46" s="1"/>
  <c r="J7"/>
  <c r="H7"/>
  <c r="D58" i="33"/>
  <c r="E58" s="1"/>
  <c r="F58" s="1"/>
  <c r="G58" s="1"/>
  <c r="H58" s="1"/>
  <c r="I58" s="1"/>
  <c r="J58" s="1"/>
  <c r="K58" s="1"/>
  <c r="L58" s="1"/>
  <c r="M58" s="1"/>
  <c r="N58" s="1"/>
  <c r="O58" s="1"/>
  <c r="J7"/>
  <c r="F7" i="35"/>
  <c r="G48"/>
  <c r="H48" s="1"/>
  <c r="I48" s="1"/>
  <c r="J48" s="1"/>
  <c r="K48" s="1"/>
  <c r="L48" s="1"/>
  <c r="M48" s="1"/>
  <c r="N48" s="1"/>
  <c r="O48" s="1"/>
  <c r="H7"/>
  <c r="J7"/>
  <c r="C65" i="40"/>
  <c r="D63"/>
  <c r="C8" i="62"/>
  <c r="E59" i="34"/>
  <c r="F59" s="1"/>
  <c r="G59" s="1"/>
  <c r="H59" s="1"/>
  <c r="I59" s="1"/>
  <c r="J59" s="1"/>
  <c r="K59" s="1"/>
  <c r="L59" s="1"/>
  <c r="M59" s="1"/>
  <c r="N59" s="1"/>
  <c r="O59" s="1"/>
  <c r="F7"/>
  <c r="J7"/>
  <c r="H7"/>
  <c r="F7" i="37"/>
  <c r="D52"/>
  <c r="E52" s="1"/>
  <c r="F52" s="1"/>
  <c r="G52" s="1"/>
  <c r="H52" s="1"/>
  <c r="I52" s="1"/>
  <c r="J52" s="1"/>
  <c r="K52" s="1"/>
  <c r="L52" s="1"/>
  <c r="M52" s="1"/>
  <c r="N52" s="1"/>
  <c r="O52" s="1"/>
  <c r="J7"/>
  <c r="D58" i="21"/>
  <c r="E58" s="1"/>
  <c r="F58" s="1"/>
  <c r="G58" s="1"/>
  <c r="H58" s="1"/>
  <c r="I58" s="1"/>
  <c r="J58" s="1"/>
  <c r="K58" s="1"/>
  <c r="L58" s="1"/>
  <c r="M58" s="1"/>
  <c r="N58" s="1"/>
  <c r="O58" s="1"/>
  <c r="J7"/>
  <c r="F7"/>
  <c r="H7"/>
  <c r="M20" i="43"/>
  <c r="C19" s="1"/>
  <c r="P22"/>
  <c r="P24"/>
  <c r="B66" i="40" s="1"/>
  <c r="P21" i="43"/>
  <c r="B71" i="39" s="1"/>
  <c r="D68"/>
  <c r="F16" i="48"/>
  <c r="H16" s="1"/>
  <c r="F22"/>
  <c r="H22" s="1"/>
  <c r="B9"/>
  <c r="D9" s="1"/>
  <c r="B15"/>
  <c r="D15" s="1"/>
  <c r="F13"/>
  <c r="H13" s="1"/>
  <c r="B8"/>
  <c r="D8" s="1"/>
  <c r="B16"/>
  <c r="D16" s="1"/>
  <c r="F7"/>
  <c r="H7" s="1"/>
  <c r="F11"/>
  <c r="H11" s="1"/>
  <c r="B11"/>
  <c r="D11" s="1"/>
  <c r="F5"/>
  <c r="H5" s="1"/>
  <c r="F6"/>
  <c r="H6" s="1"/>
  <c r="F4"/>
  <c r="H4" s="1"/>
  <c r="B6"/>
  <c r="D6" s="1"/>
  <c r="B7"/>
  <c r="D7" s="1"/>
  <c r="B10"/>
  <c r="D10" s="1"/>
  <c r="B4"/>
  <c r="D4" s="1"/>
  <c r="F14"/>
  <c r="H14" s="1"/>
  <c r="F17"/>
  <c r="D103" i="57"/>
  <c r="I1" i="61"/>
  <c r="B30" i="1" s="1"/>
  <c r="D102" i="57"/>
  <c r="G20"/>
  <c r="C103"/>
  <c r="K1" i="61"/>
  <c r="C102" i="57"/>
  <c r="G19"/>
  <c r="C105" s="1"/>
  <c r="D22"/>
  <c r="E20" i="43"/>
  <c r="G1" i="61"/>
  <c r="Q72" i="15" l="1"/>
  <c r="Q59"/>
  <c r="C30" i="11"/>
  <c r="C48"/>
  <c r="C19" i="15"/>
  <c r="C20" s="1"/>
  <c r="L59"/>
  <c r="Q71" s="1"/>
  <c r="C26"/>
  <c r="I55"/>
  <c r="J10" i="39"/>
  <c r="F10" i="40"/>
  <c r="J10"/>
  <c r="H10" i="39"/>
  <c r="H10" i="40"/>
  <c r="F10" i="39"/>
  <c r="Q58" i="15"/>
  <c r="C104" i="57"/>
  <c r="M49"/>
  <c r="I111"/>
  <c r="D128" s="1"/>
  <c r="D46"/>
  <c r="L69"/>
  <c r="M69" s="1"/>
  <c r="L68"/>
  <c r="M68" s="1"/>
  <c r="L67"/>
  <c r="M67" s="1"/>
  <c r="L66"/>
  <c r="M66" s="1"/>
  <c r="L65"/>
  <c r="M65" s="1"/>
  <c r="L64"/>
  <c r="M64" s="1"/>
  <c r="M70" s="1"/>
  <c r="N70" s="1"/>
  <c r="D116"/>
  <c r="I112" s="1"/>
  <c r="D129" s="1"/>
  <c r="E68" i="39"/>
  <c r="D70"/>
  <c r="AA7" i="21"/>
  <c r="R48" s="1"/>
  <c r="S7"/>
  <c r="AC7" i="34"/>
  <c r="V49" s="1"/>
  <c r="I49" s="1"/>
  <c r="W7"/>
  <c r="D65" i="40"/>
  <c r="E63"/>
  <c r="AC7" i="35"/>
  <c r="V38" s="1"/>
  <c r="I38" s="1"/>
  <c r="W7"/>
  <c r="U7" i="36"/>
  <c r="AB7"/>
  <c r="T36" s="1"/>
  <c r="G36" s="1"/>
  <c r="H7" i="37"/>
  <c r="H7" i="33"/>
  <c r="F7"/>
  <c r="U7" i="21"/>
  <c r="AB7"/>
  <c r="T48" s="1"/>
  <c r="G48" s="1"/>
  <c r="W7"/>
  <c r="AC7"/>
  <c r="V48" s="1"/>
  <c r="I48" s="1"/>
  <c r="AC7" i="37"/>
  <c r="V42" s="1"/>
  <c r="I42" s="1"/>
  <c r="W7"/>
  <c r="AA7"/>
  <c r="R42" s="1"/>
  <c r="S7"/>
  <c r="AB7" i="34"/>
  <c r="T49" s="1"/>
  <c r="G49" s="1"/>
  <c r="U7"/>
  <c r="S7"/>
  <c r="AA7"/>
  <c r="R49" s="1"/>
  <c r="U7" i="35"/>
  <c r="AB7"/>
  <c r="T38" s="1"/>
  <c r="G38" s="1"/>
  <c r="AA7"/>
  <c r="R38" s="1"/>
  <c r="S7"/>
  <c r="W7" i="33"/>
  <c r="AC7"/>
  <c r="V48" s="1"/>
  <c r="I48" s="1"/>
  <c r="AC7" i="36"/>
  <c r="V36" s="1"/>
  <c r="I36" s="1"/>
  <c r="W7"/>
  <c r="S7"/>
  <c r="AA7"/>
  <c r="R36" s="1"/>
  <c r="E27" i="1"/>
  <c r="N17" i="43"/>
  <c r="M17"/>
  <c r="G20" s="1"/>
  <c r="E41" s="1"/>
  <c r="C41" s="1"/>
  <c r="C38" s="1"/>
  <c r="P17"/>
  <c r="O17"/>
  <c r="F11" i="15"/>
  <c r="M11"/>
  <c r="J10" s="1"/>
  <c r="J5" s="1"/>
  <c r="C39" i="43" l="1"/>
  <c r="G39" s="1"/>
  <c r="I39" s="1"/>
  <c r="C37"/>
  <c r="E37" s="1"/>
  <c r="C20"/>
  <c r="AB10" i="40"/>
  <c r="U10"/>
  <c r="AC10"/>
  <c r="W10"/>
  <c r="AC10" i="39"/>
  <c r="W10"/>
  <c r="AA10"/>
  <c r="S10"/>
  <c r="U10"/>
  <c r="AB10"/>
  <c r="AA10" i="40"/>
  <c r="S10"/>
  <c r="D53" i="57"/>
  <c r="D54"/>
  <c r="D49" s="1"/>
  <c r="M53" s="1"/>
  <c r="C86"/>
  <c r="C94"/>
  <c r="C87" s="1"/>
  <c r="C96" s="1"/>
  <c r="C79"/>
  <c r="C74" s="1"/>
  <c r="C73"/>
  <c r="D56"/>
  <c r="M54" s="1"/>
  <c r="C65"/>
  <c r="C64" s="1"/>
  <c r="C68" s="1"/>
  <c r="C69" s="1"/>
  <c r="D55" s="1"/>
  <c r="I40" i="36"/>
  <c r="J40" s="1"/>
  <c r="I41"/>
  <c r="J41" s="1"/>
  <c r="E38" i="35"/>
  <c r="R39"/>
  <c r="E49" i="34"/>
  <c r="R50"/>
  <c r="I52" i="21"/>
  <c r="J52" s="1"/>
  <c r="I53"/>
  <c r="J53" s="1"/>
  <c r="G53"/>
  <c r="H53" s="1"/>
  <c r="G52"/>
  <c r="H52" s="1"/>
  <c r="S7" i="33"/>
  <c r="AA7"/>
  <c r="R48" s="1"/>
  <c r="U7" i="37"/>
  <c r="AB7"/>
  <c r="T42" s="1"/>
  <c r="G42" s="1"/>
  <c r="E38" i="43"/>
  <c r="G38"/>
  <c r="I38" s="1"/>
  <c r="I42" i="35"/>
  <c r="J42" s="1"/>
  <c r="I43"/>
  <c r="J43" s="1"/>
  <c r="I53" i="34"/>
  <c r="J53" s="1"/>
  <c r="I54"/>
  <c r="J54" s="1"/>
  <c r="E48" i="21"/>
  <c r="R49"/>
  <c r="F68" i="39"/>
  <c r="E70"/>
  <c r="E36" i="36"/>
  <c r="R37"/>
  <c r="I52" i="33"/>
  <c r="J52" s="1"/>
  <c r="G42" i="35"/>
  <c r="H42" s="1"/>
  <c r="G43"/>
  <c r="H43" s="1"/>
  <c r="G53" i="34"/>
  <c r="H53" s="1"/>
  <c r="G54"/>
  <c r="H54" s="1"/>
  <c r="E42" i="37"/>
  <c r="R43"/>
  <c r="I46"/>
  <c r="J46" s="1"/>
  <c r="I47"/>
  <c r="J47" s="1"/>
  <c r="U7" i="33"/>
  <c r="AB7"/>
  <c r="T48" s="1"/>
  <c r="G48" s="1"/>
  <c r="E39" i="43"/>
  <c r="G40" i="36"/>
  <c r="H40" s="1"/>
  <c r="G41"/>
  <c r="H41" s="1"/>
  <c r="F63" i="40"/>
  <c r="E65"/>
  <c r="C10" i="15"/>
  <c r="C5" s="1"/>
  <c r="C54"/>
  <c r="C49" s="1"/>
  <c r="J18"/>
  <c r="J26"/>
  <c r="J29" s="1"/>
  <c r="J24"/>
  <c r="F24"/>
  <c r="F22" i="11"/>
  <c r="F25" i="12"/>
  <c r="G37" i="43" l="1"/>
  <c r="I37" s="1"/>
  <c r="T16"/>
  <c r="V16" s="1"/>
  <c r="T11"/>
  <c r="V11" s="1"/>
  <c r="T13"/>
  <c r="V13" s="1"/>
  <c r="C34"/>
  <c r="C29"/>
  <c r="C33"/>
  <c r="T12"/>
  <c r="V12" s="1"/>
  <c r="T8"/>
  <c r="V8" s="1"/>
  <c r="T14"/>
  <c r="V14" s="1"/>
  <c r="T10"/>
  <c r="V10" s="1"/>
  <c r="T2"/>
  <c r="V2" s="1"/>
  <c r="T9"/>
  <c r="V9" s="1"/>
  <c r="T15"/>
  <c r="V15" s="1"/>
  <c r="T7"/>
  <c r="V7" s="1"/>
  <c r="C35"/>
  <c r="T4"/>
  <c r="V4" s="1"/>
  <c r="T5"/>
  <c r="V5" s="1"/>
  <c r="T6"/>
  <c r="V6" s="1"/>
  <c r="T3"/>
  <c r="V3" s="1"/>
  <c r="C36"/>
  <c r="C80" i="57"/>
  <c r="C97"/>
  <c r="E97" s="1"/>
  <c r="E98" s="1"/>
  <c r="C98"/>
  <c r="D59" s="1"/>
  <c r="D57" s="1"/>
  <c r="M55" s="1"/>
  <c r="N58" s="1"/>
  <c r="G63" i="40"/>
  <c r="F65"/>
  <c r="E46" i="37"/>
  <c r="F46" s="1"/>
  <c r="E47"/>
  <c r="F47" s="1"/>
  <c r="E41" i="36"/>
  <c r="F41" s="1"/>
  <c r="E40"/>
  <c r="F40" s="1"/>
  <c r="F70" i="39"/>
  <c r="G68"/>
  <c r="E52" i="21"/>
  <c r="F52" s="1"/>
  <c r="E53"/>
  <c r="F53" s="1"/>
  <c r="E54" i="34"/>
  <c r="F54" s="1"/>
  <c r="E53"/>
  <c r="F53" s="1"/>
  <c r="E42" i="35"/>
  <c r="F42" s="1"/>
  <c r="E43"/>
  <c r="F43" s="1"/>
  <c r="G52" i="33"/>
  <c r="H52" s="1"/>
  <c r="G53"/>
  <c r="H53" s="1"/>
  <c r="C43" i="37"/>
  <c r="B2" s="1"/>
  <c r="B3" s="1"/>
  <c r="C42"/>
  <c r="C37" i="36"/>
  <c r="B2" s="1"/>
  <c r="B3" s="1"/>
  <c r="C36"/>
  <c r="C48" i="21"/>
  <c r="C49"/>
  <c r="B2" s="1"/>
  <c r="B3" s="1"/>
  <c r="G47" i="37"/>
  <c r="H47" s="1"/>
  <c r="G46"/>
  <c r="H46" s="1"/>
  <c r="E48" i="33"/>
  <c r="R49"/>
  <c r="C50" i="34"/>
  <c r="B2" s="1"/>
  <c r="B3" s="1"/>
  <c r="C49"/>
  <c r="C38" i="35"/>
  <c r="C39"/>
  <c r="C44" i="11"/>
  <c r="D41" s="1"/>
  <c r="C26"/>
  <c r="D22" s="1"/>
  <c r="C43"/>
  <c r="C42"/>
  <c r="C24"/>
  <c r="C26" i="12"/>
  <c r="D25" s="1"/>
  <c r="C27"/>
  <c r="C25" s="1"/>
  <c r="C23" i="15"/>
  <c r="C24"/>
  <c r="C38"/>
  <c r="C32"/>
  <c r="C67"/>
  <c r="C61"/>
  <c r="G36" i="43" l="1"/>
  <c r="I36" s="1"/>
  <c r="E36"/>
  <c r="G33"/>
  <c r="I33" s="1"/>
  <c r="E33"/>
  <c r="G34"/>
  <c r="I34" s="1"/>
  <c r="E34"/>
  <c r="E35"/>
  <c r="G35"/>
  <c r="I35" s="1"/>
  <c r="C30"/>
  <c r="E30" s="1"/>
  <c r="E29"/>
  <c r="P58" i="57"/>
  <c r="N59"/>
  <c r="N60"/>
  <c r="C81"/>
  <c r="E81" s="1"/>
  <c r="E82" s="1"/>
  <c r="C82"/>
  <c r="E53" i="33"/>
  <c r="F53" s="1"/>
  <c r="E52"/>
  <c r="F52" s="1"/>
  <c r="I53"/>
  <c r="J53" s="1"/>
  <c r="B3" i="35"/>
  <c r="B2"/>
  <c r="C48" i="33"/>
  <c r="C49"/>
  <c r="B2" s="1"/>
  <c r="B3" s="1"/>
  <c r="G65" i="40"/>
  <c r="H63"/>
  <c r="G70" i="39"/>
  <c r="H68"/>
  <c r="C29" i="15"/>
  <c r="C58" s="1"/>
  <c r="C41" i="11"/>
  <c r="C49" s="1"/>
  <c r="C51" s="1"/>
  <c r="C33" i="15"/>
  <c r="C31" s="1"/>
  <c r="C32" i="12"/>
  <c r="C26" i="43" l="1"/>
  <c r="C27"/>
  <c r="N62" i="57"/>
  <c r="N61"/>
  <c r="C13" i="15"/>
  <c r="Q68" s="1"/>
  <c r="Q47"/>
  <c r="J14"/>
  <c r="J13" s="1"/>
  <c r="J23" s="1"/>
  <c r="J60"/>
  <c r="J61" s="1"/>
  <c r="C36"/>
  <c r="J19"/>
  <c r="J17" s="1"/>
  <c r="I68" i="39"/>
  <c r="H70"/>
  <c r="I63" i="40"/>
  <c r="H65"/>
  <c r="B2" i="12"/>
  <c r="B3"/>
  <c r="C65" i="15"/>
  <c r="C62"/>
  <c r="C60" s="1"/>
  <c r="B2" i="43" l="1"/>
  <c r="B3" s="1"/>
  <c r="C6" i="11"/>
  <c r="C7" s="1"/>
  <c r="C5" s="1"/>
  <c r="J34" i="15"/>
  <c r="C37"/>
  <c r="C30" s="1"/>
  <c r="C39" s="1"/>
  <c r="C40" s="1"/>
  <c r="J22"/>
  <c r="J16" s="1"/>
  <c r="J25" s="1"/>
  <c r="C57"/>
  <c r="C66" s="1"/>
  <c r="C59" s="1"/>
  <c r="C68" s="1"/>
  <c r="C69" s="1"/>
  <c r="Q46"/>
  <c r="I70" i="39"/>
  <c r="J68"/>
  <c r="I65" i="40"/>
  <c r="J63"/>
  <c r="Q67" i="15" l="1"/>
  <c r="Q66" s="1"/>
  <c r="C20" i="11"/>
  <c r="C25" s="1"/>
  <c r="C23"/>
  <c r="J38" i="15"/>
  <c r="J39" s="1"/>
  <c r="K63" i="40"/>
  <c r="J65"/>
  <c r="K68" i="39"/>
  <c r="J70"/>
  <c r="C47" i="15"/>
  <c r="C72"/>
  <c r="Q45"/>
  <c r="Q51" s="1"/>
  <c r="Q54"/>
  <c r="Q63"/>
  <c r="L52"/>
  <c r="C43"/>
  <c r="J41"/>
  <c r="C22" i="11" l="1"/>
  <c r="C28"/>
  <c r="C27" s="1"/>
  <c r="K65" i="40"/>
  <c r="L63"/>
  <c r="K70" i="39"/>
  <c r="L68"/>
  <c r="L58" i="15"/>
  <c r="L61" s="1"/>
  <c r="L47" s="1"/>
  <c r="Q65"/>
  <c r="D35" i="9"/>
  <c r="J42" i="15"/>
  <c r="C31" i="11" l="1"/>
  <c r="C52" s="1"/>
  <c r="B2" s="1"/>
  <c r="B3" i="15"/>
  <c r="B2"/>
  <c r="L70" i="39"/>
  <c r="M68"/>
  <c r="L65" i="40"/>
  <c r="M63"/>
  <c r="Q64" i="15"/>
  <c r="Q73" s="1"/>
  <c r="Q55"/>
  <c r="Q60" s="1"/>
  <c r="D34" i="9"/>
  <c r="D19"/>
  <c r="C19"/>
  <c r="C20"/>
  <c r="B3" i="11" l="1"/>
  <c r="C56"/>
  <c r="C57" s="1"/>
  <c r="D101" i="9"/>
  <c r="D22"/>
  <c r="C101"/>
  <c r="G19"/>
  <c r="C102"/>
  <c r="M65" i="40"/>
  <c r="N63"/>
  <c r="M70" i="39"/>
  <c r="N68"/>
  <c r="D20" i="9"/>
  <c r="D102" l="1"/>
  <c r="G20"/>
  <c r="C32"/>
  <c r="C35" s="1"/>
  <c r="C34" s="1"/>
  <c r="O68" i="39"/>
  <c r="O70" s="1"/>
  <c r="N70"/>
  <c r="O63" i="40"/>
  <c r="O65" s="1"/>
  <c r="N65"/>
  <c r="F7" l="1"/>
  <c r="J7"/>
  <c r="H7"/>
  <c r="J7" i="39"/>
  <c r="F7"/>
  <c r="H7"/>
  <c r="AA7" l="1"/>
  <c r="R47" s="1"/>
  <c r="S7"/>
  <c r="U7" i="40"/>
  <c r="AB7"/>
  <c r="T42" s="1"/>
  <c r="G42" s="1"/>
  <c r="S7"/>
  <c r="AA7"/>
  <c r="R42" s="1"/>
  <c r="U7" i="39"/>
  <c r="AB7"/>
  <c r="T47" s="1"/>
  <c r="G47" s="1"/>
  <c r="AC7"/>
  <c r="V47" s="1"/>
  <c r="I47" s="1"/>
  <c r="W7"/>
  <c r="W7" i="40"/>
  <c r="AC7"/>
  <c r="V42" s="1"/>
  <c r="I42" s="1"/>
  <c r="I46" l="1"/>
  <c r="J46" s="1"/>
  <c r="G51" i="39"/>
  <c r="H51" s="1"/>
  <c r="G52"/>
  <c r="H52" s="1"/>
  <c r="R43" i="40"/>
  <c r="E42"/>
  <c r="G47"/>
  <c r="H47" s="1"/>
  <c r="G46"/>
  <c r="H46" s="1"/>
  <c r="I51" i="39"/>
  <c r="J51" s="1"/>
  <c r="R48"/>
  <c r="E47"/>
  <c r="E51" l="1"/>
  <c r="F51" s="1"/>
  <c r="E52"/>
  <c r="F52" s="1"/>
  <c r="E46" i="40"/>
  <c r="F46" s="1"/>
  <c r="E47"/>
  <c r="F47" s="1"/>
  <c r="C47" i="39"/>
  <c r="C48"/>
  <c r="C42" i="40"/>
  <c r="C43"/>
  <c r="I47"/>
  <c r="J47" s="1"/>
  <c r="I52" i="39"/>
  <c r="J52" s="1"/>
  <c r="B51" i="40" l="1"/>
  <c r="F51" s="1"/>
  <c r="F61" s="1"/>
  <c r="B2" s="1"/>
  <c r="B3" s="1"/>
  <c r="B59"/>
  <c r="F59" s="1"/>
  <c r="B60"/>
  <c r="F60" s="1"/>
  <c r="B57"/>
  <c r="F57" s="1"/>
  <c r="B54"/>
  <c r="F54" s="1"/>
  <c r="B52"/>
  <c r="F52" s="1"/>
  <c r="B56"/>
  <c r="F56" s="1"/>
  <c r="B53"/>
  <c r="F53" s="1"/>
  <c r="B58"/>
  <c r="F58" s="1"/>
  <c r="B55"/>
  <c r="F55" s="1"/>
  <c r="B56" i="39"/>
  <c r="F56" s="1"/>
  <c r="F66" s="1"/>
  <c r="B2" s="1"/>
  <c r="B3" s="1"/>
  <c r="B61"/>
  <c r="F61" s="1"/>
  <c r="B63"/>
  <c r="F63" s="1"/>
  <c r="B60"/>
  <c r="F60" s="1"/>
  <c r="B64"/>
  <c r="F64" s="1"/>
  <c r="B59"/>
  <c r="F59" s="1"/>
  <c r="B62"/>
  <c r="F62" s="1"/>
  <c r="B65"/>
  <c r="F65" s="1"/>
  <c r="B58"/>
  <c r="F58" s="1"/>
  <c r="B57"/>
  <c r="F57" s="1"/>
  <c r="F121" i="9"/>
  <c r="F122" s="1"/>
  <c r="F5" i="52" s="1"/>
  <c r="B42" i="60" s="1"/>
  <c r="H121" i="9"/>
  <c r="D121"/>
  <c r="D4" i="52" s="1"/>
  <c r="B37" i="60" s="1"/>
  <c r="H4" i="52" l="1"/>
  <c r="D14" i="62"/>
  <c r="G121" i="9"/>
  <c r="G4" i="52" s="1"/>
  <c r="B41" i="60" s="1"/>
  <c r="F4" i="52"/>
  <c r="B40" i="60" s="1"/>
  <c r="H122" i="9"/>
  <c r="H5" i="52" s="1"/>
  <c r="C103" i="9"/>
  <c r="D122"/>
  <c r="D5" i="52" s="1"/>
  <c r="B39" i="60" s="1"/>
  <c r="E121" i="9"/>
  <c r="E4" i="52" s="1"/>
  <c r="B38" i="60" s="1"/>
  <c r="I102" i="9"/>
  <c r="I121"/>
  <c r="D106"/>
  <c r="D112" s="1"/>
  <c r="F14" i="62" l="1"/>
  <c r="E14"/>
  <c r="B5"/>
  <c r="C104" i="9"/>
  <c r="I103"/>
  <c r="I4" i="52"/>
  <c r="D107" i="9"/>
  <c r="D113" s="1"/>
  <c r="D117"/>
  <c r="D7" i="50"/>
  <c r="D45" i="9"/>
  <c r="M48"/>
  <c r="D28" i="50"/>
  <c r="D29" s="1"/>
  <c r="I110" i="9"/>
  <c r="C5" i="62" l="1"/>
  <c r="D5"/>
  <c r="D36" i="50"/>
  <c r="D37" s="1"/>
  <c r="D15"/>
  <c r="D125" i="9"/>
  <c r="B19" i="60"/>
  <c r="D8" i="50"/>
  <c r="B22" i="60" s="1"/>
  <c r="I111" i="9"/>
  <c r="D38" i="50"/>
  <c r="B62" i="60" s="1"/>
  <c r="D52" i="9"/>
  <c r="C72"/>
  <c r="D53"/>
  <c r="D48" s="1"/>
  <c r="M52" s="1"/>
  <c r="C78"/>
  <c r="C73" s="1"/>
  <c r="C85"/>
  <c r="D55"/>
  <c r="M53" s="1"/>
  <c r="C64"/>
  <c r="C63" s="1"/>
  <c r="C67" s="1"/>
  <c r="C68" s="1"/>
  <c r="D54" s="1"/>
  <c r="D59"/>
  <c r="M55" s="1"/>
  <c r="C93"/>
  <c r="C86" s="1"/>
  <c r="I115"/>
  <c r="D23" i="50" s="1"/>
  <c r="B34" i="60" s="1"/>
  <c r="D44" i="50"/>
  <c r="D9"/>
  <c r="B21" i="60" s="1"/>
  <c r="D30" i="50"/>
  <c r="D8" i="52" l="1"/>
  <c r="G14" i="62"/>
  <c r="B6" s="1"/>
  <c r="D17" i="50"/>
  <c r="D126" i="9"/>
  <c r="D9" i="52" s="1"/>
  <c r="D16" i="50"/>
  <c r="B30" i="60" s="1"/>
  <c r="B29"/>
  <c r="C79" i="9"/>
  <c r="C95"/>
  <c r="C6" i="62" l="1"/>
  <c r="D6"/>
  <c r="C96" i="9"/>
  <c r="E96" s="1"/>
  <c r="E97" s="1"/>
  <c r="C80"/>
  <c r="E80" s="1"/>
  <c r="E81" s="1"/>
  <c r="C81" l="1"/>
  <c r="C97"/>
  <c r="D58" s="1"/>
  <c r="D56" s="1"/>
  <c r="M54" s="1"/>
  <c r="N57" s="1"/>
  <c r="N59" s="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<sst xmlns="http://schemas.openxmlformats.org/spreadsheetml/2006/main" count="6763" uniqueCount="2846">
  <si>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</si>
  <si>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</si>
  <si>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</si>
  <si>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</si>
  <si>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</si>
  <si>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</si>
  <si>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</si>
  <si>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</si>
  <si>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</si>
  <si>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</si>
  <si>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</si>
  <si>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</si>
  <si>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</si>
  <si>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</si>
  <si>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</si>
  <si>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</si>
  <si>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</si>
  <si>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</si>
  <si>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</si>
  <si>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</si>
  <si>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</si>
  <si>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</si>
  <si>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</si>
  <si>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</si>
  <si>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</si>
  <si>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</si>
  <si>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</si>
  <si>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</si>
  <si>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</si>
  <si>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</si>
  <si>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</si>
  <si>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</si>
  <si>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</si>
  <si>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</si>
  <si>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</si>
  <si>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</si>
  <si>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</si>
  <si>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</si>
  <si>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</si>
  <si>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</si>
  <si>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</si>
  <si>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</si>
  <si>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</si>
  <si>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</si>
  <si>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</si>
  <si>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</si>
  <si>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</si>
  <si>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</si>
  <si>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</si>
  <si>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</si>
  <si>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</si>
  <si>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</si>
  <si>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</si>
  <si>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</si>
  <si>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</si>
  <si>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</si>
  <si>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</si>
  <si>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</si>
  <si>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</si>
  <si>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</si>
  <si>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</si>
  <si>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</si>
  <si>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</si>
  <si>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</si>
  <si>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</si>
  <si>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</si>
  <si>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</si>
  <si>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</si>
  <si>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</si>
  <si>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</si>
  <si>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</si>
  <si>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</si>
  <si>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</si>
  <si>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</si>
  <si>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</si>
  <si>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</si>
  <si>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</si>
  <si>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</si>
  <si>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</si>
  <si>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</si>
  <si>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</si>
  <si>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</si>
  <si>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</si>
  <si>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</si>
  <si>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</si>
  <si>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</si>
  <si>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</si>
  <si>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</si>
  <si>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</si>
  <si>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</si>
  <si>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</si>
  <si>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</si>
  <si>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</si>
  <si>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</si>
  <si>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</si>
  <si>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</si>
  <si>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</si>
  <si>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</si>
  <si>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</si>
  <si>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</si>
  <si>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</si>
  <si>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</si>
  <si>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</si>
  <si>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</si>
  <si>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</si>
  <si>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</si>
  <si>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</si>
  <si>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</si>
  <si>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</si>
  <si>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</si>
  <si>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</si>
  <si>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</si>
  <si>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</si>
  <si>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</si>
  <si>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</si>
  <si>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</si>
  <si>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</si>
  <si>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</si>
  <si>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</si>
  <si>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</si>
  <si>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</si>
  <si>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</si>
  <si>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</si>
  <si>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</si>
  <si>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</si>
  <si>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</si>
  <si>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</si>
  <si>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</si>
  <si>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</si>
  <si>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</si>
  <si>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</si>
  <si>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</si>
  <si>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</si>
  <si>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</si>
  <si>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</si>
  <si>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</si>
  <si>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</si>
  <si>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</si>
  <si>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</si>
  <si>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</si>
  <si>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</si>
  <si>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</si>
  <si>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</si>
  <si>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</si>
  <si>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</si>
  <si>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</si>
  <si>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</si>
  <si>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</si>
  <si>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</si>
  <si>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</si>
  <si>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</si>
  <si>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</si>
  <si>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</si>
  <si>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</si>
  <si>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</si>
  <si>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</si>
  <si>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</si>
  <si>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</si>
  <si>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</si>
  <si>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</si>
  <si>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</si>
  <si>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</si>
  <si>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</si>
  <si>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</si>
  <si>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</si>
  <si>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</si>
  <si>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</si>
  <si>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</si>
  <si>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</si>
  <si>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</si>
  <si>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</si>
  <si>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</si>
  <si>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</si>
  <si>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</si>
  <si>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</si>
  <si>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</si>
  <si>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</si>
  <si>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</si>
  <si>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</si>
  <si>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</si>
  <si>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</si>
  <si>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</si>
  <si>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</si>
  <si>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</si>
  <si>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</si>
  <si>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</si>
  <si>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</si>
  <si>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</si>
  <si>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</si>
  <si>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</si>
  <si>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</si>
  <si>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</si>
  <si>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</si>
  <si>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</si>
  <si>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</si>
  <si>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</si>
  <si>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</si>
  <si>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</si>
  <si>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</si>
  <si>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</si>
  <si>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</si>
  <si>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</si>
  <si>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</si>
  <si>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</si>
  <si>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</si>
  <si>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</si>
  <si>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</si>
  <si>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</si>
  <si>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</si>
  <si>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</si>
  <si>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</si>
  <si>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</si>
  <si>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</si>
  <si>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</si>
  <si>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</si>
  <si>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</si>
  <si>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</si>
  <si>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</si>
  <si>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</si>
  <si>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</si>
  <si>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</si>
  <si>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</si>
  <si>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</si>
  <si>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</si>
  <si>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</si>
  <si>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</si>
  <si>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</si>
  <si>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</si>
  <si>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</si>
  <si>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</si>
  <si>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</si>
  <si>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</si>
  <si>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</si>
  <si>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</si>
  <si>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</si>
  <si>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</si>
  <si>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</si>
  <si>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</si>
  <si>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</si>
  <si>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</si>
  <si>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</si>
  <si>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</si>
  <si>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</si>
  <si>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</si>
  <si>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</si>
  <si>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</si>
  <si>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</si>
  <si>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</si>
  <si>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</si>
  <si>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</si>
  <si>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</si>
  <si>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</si>
  <si>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</si>
  <si>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</si>
  <si>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</si>
  <si>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</si>
  <si>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</si>
  <si>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</si>
  <si>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</si>
  <si>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</si>
  <si>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</si>
  <si>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</si>
  <si>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</si>
  <si>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</si>
  <si>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</si>
  <si>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</si>
  <si>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</si>
  <si>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</si>
  <si>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</si>
  <si>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</si>
  <si>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</si>
  <si>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</si>
  <si>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</si>
  <si>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</si>
  <si>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</si>
  <si>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</si>
  <si>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</si>
  <si>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</si>
  <si>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</si>
  <si>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</si>
  <si>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</si>
  <si>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</si>
  <si>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</si>
  <si>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</si>
  <si>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</si>
  <si>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</si>
  <si>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</si>
  <si>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</si>
  <si>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</si>
  <si>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</si>
  <si>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</si>
  <si>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</si>
  <si>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</si>
  <si>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</si>
  <si>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</si>
  <si>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</si>
  <si>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</si>
  <si>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</si>
  <si>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</si>
  <si>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</si>
  <si>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</si>
  <si>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</si>
  <si>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</si>
  <si>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</si>
  <si>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</si>
  <si>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</si>
  <si>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</si>
  <si>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</si>
  <si>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</si>
  <si>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</si>
  <si>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</si>
  <si>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</si>
  <si>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</si>
  <si>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</si>
  <si>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</si>
  <si>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</si>
  <si>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</si>
  <si>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</si>
  <si>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</si>
  <si>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</si>
  <si>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</si>
  <si>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</si>
  <si>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</si>
  <si>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</si>
  <si>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</si>
  <si>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</si>
  <si>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</si>
  <si>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</si>
  <si>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</si>
  <si>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</si>
  <si>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</si>
  <si>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</si>
  <si>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</si>
  <si>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</si>
  <si>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</si>
  <si>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</si>
  <si>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</si>
  <si>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</si>
  <si>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</si>
  <si>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</si>
  <si>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</si>
  <si>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</si>
  <si>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</si>
  <si>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</si>
  <si>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</si>
  <si>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</si>
  <si>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</si>
  <si>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</si>
  <si>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</si>
  <si>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</si>
  <si>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</si>
  <si>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</si>
  <si>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</si>
  <si>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</si>
  <si>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</si>
  <si>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</si>
  <si>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</si>
  <si>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</si>
  <si>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</si>
  <si>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</si>
  <si>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</si>
  <si>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</si>
  <si>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</si>
  <si>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</si>
  <si>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</si>
  <si>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</si>
  <si>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</si>
  <si>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</si>
  <si>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</si>
  <si>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</si>
  <si>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</si>
  <si>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</si>
  <si>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</si>
  <si>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</si>
  <si>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</si>
  <si>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</si>
  <si>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</si>
  <si>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</si>
  <si>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</si>
  <si>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</si>
  <si>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</si>
  <si>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</si>
  <si>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</si>
  <si>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</si>
  <si>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</si>
  <si>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</si>
  <si>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</si>
  <si>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</si>
  <si>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</si>
  <si>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</si>
  <si>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</si>
  <si>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</si>
  <si>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</si>
  <si>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</si>
  <si>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</si>
  <si>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</si>
  <si>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</si>
  <si>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</si>
  <si>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</si>
  <si>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</si>
  <si>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</si>
  <si>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</si>
  <si>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</si>
  <si>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</si>
  <si>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</si>
  <si>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</si>
  <si>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</si>
  <si>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</si>
  <si>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</si>
  <si>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</si>
  <si>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</si>
  <si>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</si>
  <si>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</si>
  <si>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</si>
  <si>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</si>
  <si>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</si>
  <si>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</si>
  <si>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</si>
  <si>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</si>
  <si>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</si>
  <si>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</si>
  <si>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</si>
  <si>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</si>
  <si>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</si>
  <si>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</si>
  <si>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</si>
  <si>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</si>
  <si>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</si>
  <si>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</si>
  <si>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</si>
  <si>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</si>
  <si>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</si>
  <si>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</si>
  <si>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</si>
  <si>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</si>
  <si>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</si>
  <si>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</si>
  <si>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</si>
  <si>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</si>
  <si>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</si>
  <si>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</si>
  <si>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</si>
  <si>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</si>
  <si>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</si>
  <si>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</si>
  <si>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</si>
  <si>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</si>
  <si>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</si>
  <si>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</si>
  <si>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</si>
  <si>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</si>
  <si>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</si>
  <si>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</si>
  <si>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</si>
  <si>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</si>
  <si>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</si>
  <si>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</si>
  <si>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</si>
  <si>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</si>
  <si>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</si>
  <si>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</si>
  <si>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</si>
  <si>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</si>
  <si>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</si>
  <si>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</si>
  <si>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</si>
  <si>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</si>
  <si>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</si>
  <si>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</si>
  <si>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</si>
  <si>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</si>
  <si>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</si>
  <si>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</si>
  <si>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</si>
  <si>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</si>
  <si>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</si>
  <si>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</si>
  <si>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</si>
  <si>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</si>
  <si>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</si>
  <si>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</si>
  <si>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</si>
  <si>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</si>
  <si>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</si>
  <si>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</si>
  <si>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</si>
  <si>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</si>
  <si>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</si>
  <si>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</si>
  <si>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</si>
  <si>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</si>
  <si>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</si>
  <si>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</si>
  <si>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</si>
  <si>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</si>
  <si>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</si>
  <si>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</si>
  <si>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</si>
  <si>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</si>
  <si>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</si>
  <si>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</si>
  <si>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</si>
  <si>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</si>
  <si>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</si>
  <si>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</si>
  <si>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</si>
  <si>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</si>
  <si>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</si>
  <si>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</si>
  <si>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</si>
  <si>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</si>
  <si>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</si>
  <si>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</si>
  <si>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</si>
  <si>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</si>
  <si>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</si>
  <si>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</si>
  <si>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</si>
  <si>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</si>
  <si>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</si>
  <si>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</si>
  <si>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</si>
  <si>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</si>
  <si>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</si>
  <si>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</si>
  <si>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</si>
  <si>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</si>
  <si>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</si>
  <si>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</si>
  <si>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</si>
  <si>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</si>
  <si>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</si>
  <si>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</si>
  <si>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</si>
  <si>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</si>
  <si>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</si>
  <si>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</si>
  <si>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</si>
  <si>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</si>
  <si>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</si>
  <si>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</si>
  <si>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</si>
  <si>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</si>
  <si>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</si>
  <si>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</si>
  <si>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</si>
  <si>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</si>
  <si>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</si>
  <si>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</si>
  <si>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</si>
  <si>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</si>
  <si>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</si>
  <si>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</si>
  <si>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</si>
  <si>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</si>
  <si>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</si>
  <si>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</si>
  <si>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</si>
  <si>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</si>
  <si>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</si>
  <si>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</si>
  <si>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</si>
  <si>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</si>
  <si>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</si>
  <si>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</si>
  <si>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</si>
  <si>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</si>
  <si>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</si>
  <si>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</si>
  <si>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</si>
  <si>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</si>
  <si>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</si>
  <si>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</si>
  <si>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</si>
  <si>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</si>
  <si>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</si>
  <si>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</si>
  <si>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</si>
  <si>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</si>
  <si>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</si>
  <si>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</si>
  <si>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</si>
  <si>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</si>
  <si>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</si>
  <si>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</si>
  <si>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</si>
  <si>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</si>
  <si>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</si>
  <si>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</si>
  <si>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</si>
  <si>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</si>
  <si>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</si>
  <si>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</si>
  <si>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</si>
  <si>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</si>
  <si>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</si>
  <si>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</si>
  <si>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</si>
  <si>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</si>
  <si>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</si>
  <si>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</si>
  <si>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</si>
  <si>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</si>
  <si>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</si>
  <si>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</si>
  <si>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</si>
  <si>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</si>
  <si>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</si>
  <si>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</si>
  <si>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</si>
  <si>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</si>
  <si>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</si>
  <si>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</si>
  <si>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</si>
  <si>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</si>
  <si>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</si>
  <si>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</si>
  <si>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</si>
  <si>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</si>
  <si>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</si>
  <si>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</si>
  <si>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</si>
  <si>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</si>
  <si>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</si>
  <si>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</si>
  <si>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</si>
  <si>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</si>
  <si>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</si>
  <si>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</si>
  <si>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</si>
  <si>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</si>
  <si>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</si>
  <si>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</si>
  <si>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</si>
  <si>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</si>
  <si>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</si>
  <si>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</si>
  <si>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</si>
  <si>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</si>
  <si>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</si>
  <si>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</si>
  <si>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</si>
  <si>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</si>
  <si>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</si>
  <si>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</si>
  <si>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</si>
  <si>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</si>
  <si>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</si>
  <si>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</si>
  <si>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</si>
  <si>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</si>
  <si>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</si>
  <si>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</si>
  <si>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</si>
  <si>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</si>
  <si>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</si>
  <si>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</si>
  <si>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</si>
  <si>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</si>
  <si>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</si>
  <si>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</si>
  <si>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</si>
  <si>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</si>
  <si>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</si>
  <si>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</si>
  <si>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</si>
  <si>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</si>
  <si>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</si>
  <si>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</si>
  <si>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</si>
  <si>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</si>
  <si>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</si>
  <si>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</si>
  <si>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</si>
  <si>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</si>
  <si>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</si>
  <si>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</si>
  <si>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</si>
  <si>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</si>
  <si>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</si>
  <si>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</si>
  <si>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</si>
  <si>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</si>
  <si>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</si>
  <si>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</si>
  <si>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</si>
  <si>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</si>
  <si>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</si>
  <si>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</si>
  <si>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</si>
  <si>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</si>
  <si>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</si>
  <si>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</si>
  <si>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</si>
  <si>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</si>
  <si>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</si>
  <si>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</si>
  <si>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</si>
  <si>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</si>
  <si>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</si>
  <si>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</si>
  <si>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</si>
  <si>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</si>
  <si>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</si>
  <si>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</si>
  <si>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</si>
  <si>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</si>
  <si>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</si>
  <si>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</si>
  <si>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</si>
  <si>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</si>
  <si>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</si>
  <si>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</si>
  <si>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</si>
  <si>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</si>
  <si>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</si>
  <si>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</si>
  <si>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</si>
  <si>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</si>
  <si>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</si>
  <si>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</si>
  <si>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</si>
  <si>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</si>
  <si>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</si>
  <si>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</si>
  <si>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</si>
  <si>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</si>
  <si>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</si>
  <si>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</si>
  <si>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</si>
  <si>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</si>
  <si>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</si>
  <si>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</si>
  <si>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</si>
  <si>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</si>
  <si>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</si>
  <si>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</si>
  <si>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</si>
  <si>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</si>
  <si>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</si>
  <si>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</si>
  <si>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</si>
  <si>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</si>
  <si>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</si>
  <si>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</si>
  <si>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</si>
  <si>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</si>
  <si>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</si>
  <si>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</si>
  <si>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</si>
  <si>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</si>
  <si>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</si>
  <si>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</si>
  <si>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</si>
  <si>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</si>
  <si>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</si>
  <si>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</si>
  <si>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</si>
  <si>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</si>
  <si>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</si>
  <si>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</si>
  <si>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</si>
  <si>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</si>
  <si>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</si>
  <si>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</si>
  <si>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</si>
  <si>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</si>
  <si>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</si>
  <si>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</si>
  <si>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</si>
  <si>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</si>
  <si>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</si>
  <si>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</si>
  <si>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</si>
  <si>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</si>
  <si>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</si>
  <si>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</si>
  <si>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</si>
  <si>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</si>
  <si>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</si>
  <si>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</si>
  <si>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</si>
  <si>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</si>
  <si>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</si>
  <si>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</si>
  <si>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</si>
  <si>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</si>
  <si>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</si>
  <si>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</si>
  <si>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</si>
  <si>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</si>
  <si>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</si>
  <si>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</si>
  <si>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</si>
  <si>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</si>
  <si>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</si>
  <si>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</si>
  <si>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</si>
  <si>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</si>
  <si>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</si>
  <si>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</si>
  <si>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</si>
  <si>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</si>
  <si>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</si>
  <si>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</si>
  <si>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</si>
  <si>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</si>
  <si>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</si>
  <si>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</si>
  <si>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</si>
  <si>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</si>
  <si>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</si>
  <si>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</si>
  <si>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</si>
  <si>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</si>
  <si>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</si>
  <si>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</si>
  <si>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</si>
  <si>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</si>
  <si>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</si>
  <si>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</si>
  <si>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</si>
  <si>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</si>
  <si>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</si>
  <si>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</si>
  <si>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</si>
  <si>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</si>
  <si>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</si>
  <si>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</si>
  <si>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</si>
  <si>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</si>
  <si>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</si>
  <si>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</si>
  <si>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</si>
  <si>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</si>
  <si>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</si>
  <si>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</si>
  <si>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</si>
  <si>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</si>
  <si>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</si>
  <si>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</si>
  <si>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</si>
  <si>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</si>
  <si>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</si>
  <si>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</si>
  <si>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</si>
  <si>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</si>
  <si>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</si>
  <si>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</si>
  <si>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</si>
  <si>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</si>
  <si>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</si>
  <si>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</si>
  <si>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</si>
  <si>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</si>
  <si>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</si>
  <si>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</si>
  <si>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</si>
  <si>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</si>
  <si>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</si>
  <si>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</si>
  <si>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</si>
  <si>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</si>
  <si>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</si>
  <si>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</si>
  <si>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</si>
  <si>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</si>
  <si>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</si>
  <si>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</si>
  <si>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</si>
  <si>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</si>
  <si>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</si>
  <si>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</si>
  <si>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</si>
  <si>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</si>
  <si>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</si>
  <si>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</si>
  <si>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</si>
  <si>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</si>
  <si>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</si>
  <si>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</si>
  <si>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</si>
  <si>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</si>
  <si>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</si>
  <si>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</si>
  <si>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</si>
  <si>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</si>
  <si>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</si>
  <si>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</si>
  <si>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</si>
  <si>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</si>
  <si>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</si>
  <si>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</si>
  <si>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</si>
  <si>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</si>
  <si>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</si>
  <si>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</si>
  <si>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</si>
  <si>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</si>
  <si>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</si>
  <si>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</si>
  <si>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</si>
  <si>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</si>
  <si>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</si>
  <si>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</si>
  <si>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</si>
  <si>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</si>
  <si>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</si>
  <si>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</si>
  <si>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</si>
  <si>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</si>
  <si>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</si>
  <si>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</si>
  <si>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</si>
  <si>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</si>
  <si>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</si>
  <si>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</si>
  <si>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</si>
  <si>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</si>
  <si>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</si>
  <si>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</si>
  <si>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</si>
  <si>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</si>
  <si>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</si>
  <si>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</si>
  <si>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</si>
  <si>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</si>
  <si>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</si>
  <si>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</si>
  <si>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</si>
  <si>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</si>
  <si>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</si>
  <si>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</si>
  <si>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</si>
  <si>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</si>
  <si>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</si>
  <si>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</si>
  <si>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</si>
  <si>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</si>
  <si>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</si>
  <si>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</si>
  <si>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</si>
  <si>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</si>
  <si>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</si>
  <si>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</si>
  <si>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</si>
  <si>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</si>
  <si>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</si>
  <si>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</si>
  <si>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</si>
  <si>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</si>
  <si>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</si>
  <si>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</si>
  <si>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</si>
  <si>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</si>
  <si>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</si>
  <si>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</si>
  <si>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</si>
  <si>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</si>
  <si>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</si>
  <si>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</si>
  <si>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</si>
  <si>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</si>
  <si>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</si>
  <si>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</si>
  <si>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</si>
  <si>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</si>
  <si>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</si>
  <si>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</si>
  <si>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</si>
  <si>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</si>
  <si>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</si>
  <si>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</si>
  <si>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</si>
  <si>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</si>
  <si>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</si>
  <si>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</si>
  <si>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</si>
  <si>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</si>
  <si>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</si>
  <si>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</si>
  <si>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</si>
  <si>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</si>
  <si>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</si>
  <si>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</si>
  <si>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</si>
  <si>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</si>
  <si>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</si>
  <si>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</si>
  <si>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</si>
  <si>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</si>
  <si>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</si>
  <si>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</si>
  <si>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</si>
  <si>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</si>
  <si>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</si>
  <si>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</si>
  <si>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</si>
  <si>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</si>
  <si>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</si>
  <si>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</si>
  <si>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</si>
  <si>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</si>
  <si>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</si>
  <si>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</si>
  <si>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</si>
  <si>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</si>
  <si>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</si>
  <si>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</si>
  <si>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</si>
  <si>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</si>
  <si>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</si>
  <si>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</si>
  <si>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</si>
  <si>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</si>
  <si>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</si>
  <si>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</si>
  <si>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</si>
  <si>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</si>
  <si>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</si>
  <si>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</si>
  <si>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</si>
  <si>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</si>
  <si>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</si>
  <si>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</si>
  <si>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</si>
  <si>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</si>
  <si>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</si>
  <si>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</si>
  <si>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</si>
  <si>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</si>
  <si>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</si>
  <si>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</si>
  <si>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</si>
  <si>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</si>
  <si>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</si>
  <si>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</si>
  <si>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</si>
  <si>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</si>
  <si>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</si>
  <si>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</si>
  <si>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</si>
  <si>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</si>
  <si>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</si>
  <si>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</si>
  <si>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</si>
  <si>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</si>
  <si>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</si>
  <si>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</si>
  <si>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</si>
  <si>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</si>
  <si>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</si>
  <si>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</si>
  <si>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</si>
  <si>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</si>
  <si>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</si>
  <si>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</si>
  <si>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</si>
  <si>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</si>
  <si>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</si>
  <si>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</si>
  <si>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</si>
  <si>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</si>
  <si>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</si>
  <si>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</si>
  <si>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</si>
  <si>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</si>
  <si>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</si>
  <si>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</si>
  <si>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</si>
  <si>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</si>
  <si>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</si>
  <si>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</si>
  <si>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</si>
  <si>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</si>
  <si>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</si>
  <si>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</si>
  <si>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</si>
  <si>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</si>
  <si>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</si>
  <si>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</si>
  <si>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</si>
  <si>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</si>
  <si>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</si>
  <si>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</si>
  <si>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</si>
  <si>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</si>
  <si>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</si>
  <si>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</si>
  <si>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</si>
  <si>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</si>
  <si>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</si>
  <si>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</si>
  <si>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</si>
  <si>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</si>
  <si>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</si>
  <si>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</si>
  <si>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</si>
  <si>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</si>
  <si>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</si>
  <si>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</si>
  <si>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</si>
  <si>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</si>
  <si>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</si>
  <si>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</si>
  <si>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</si>
  <si>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</si>
  <si>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</si>
  <si>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</si>
  <si>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</si>
  <si>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</si>
  <si>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</si>
  <si>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</si>
  <si>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</si>
  <si>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</si>
  <si>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</si>
  <si>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</si>
  <si>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</si>
  <si>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</si>
  <si>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</si>
  <si>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</si>
  <si>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</si>
  <si>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</si>
  <si>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</si>
  <si>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</si>
  <si>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</si>
  <si>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</si>
  <si>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</si>
  <si>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</si>
  <si>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</si>
  <si>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</si>
  <si>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</si>
  <si>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</si>
  <si>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</si>
  <si>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</si>
  <si>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</si>
  <si>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</si>
  <si>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</si>
  <si>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</si>
  <si>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</si>
  <si>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</si>
  <si>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</si>
  <si>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</si>
  <si>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</si>
  <si>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</si>
  <si>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</si>
  <si>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</si>
  <si>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</si>
  <si>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</si>
  <si>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</si>
  <si>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</si>
  <si>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</si>
  <si>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</si>
  <si>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</si>
  <si>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</si>
  <si>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</si>
  <si>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</si>
  <si>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</si>
  <si>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</si>
  <si>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</si>
  <si>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</si>
  <si>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</si>
  <si>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</si>
  <si>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</si>
  <si>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</si>
  <si>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</si>
  <si>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</si>
  <si>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</si>
  <si>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</si>
  <si>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</si>
  <si>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</si>
  <si>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</si>
  <si>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</si>
  <si>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</si>
  <si>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</si>
  <si>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</si>
  <si>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</si>
  <si>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</si>
  <si>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</si>
  <si>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</si>
  <si>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</si>
  <si>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</si>
  <si>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</si>
  <si>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</si>
  <si>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</si>
  <si>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</si>
  <si>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</si>
  <si>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</si>
  <si>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</si>
  <si>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</si>
  <si>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</si>
  <si>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</si>
  <si>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</si>
  <si>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</si>
  <si>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</si>
  <si>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</si>
  <si>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</si>
  <si>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</si>
  <si>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</si>
  <si>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</si>
  <si>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</si>
  <si>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</si>
  <si>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</si>
  <si>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</si>
  <si>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</si>
  <si>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</si>
  <si>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</si>
  <si>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</si>
  <si>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</si>
  <si>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</si>
  <si>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</si>
  <si>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</si>
  <si>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</si>
  <si>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</si>
  <si>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</si>
  <si>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</si>
  <si>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</si>
  <si>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</si>
  <si>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</si>
  <si>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</si>
  <si>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</si>
  <si>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</si>
  <si>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</si>
  <si>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</si>
  <si>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</si>
  <si>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</si>
  <si>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</si>
  <si>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</si>
  <si>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</si>
  <si>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</si>
  <si>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</si>
  <si>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</si>
  <si>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</si>
  <si>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</si>
  <si>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</si>
  <si>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</si>
  <si>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</si>
  <si>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</si>
  <si>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</si>
  <si>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</si>
  <si>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</si>
  <si>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</si>
  <si>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</si>
  <si>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</si>
  <si>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</si>
  <si>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</si>
  <si>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</si>
  <si>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</si>
  <si>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</si>
  <si>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</si>
  <si>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</si>
  <si>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</si>
  <si>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</si>
  <si>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</si>
  <si>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</si>
  <si>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</si>
  <si>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</si>
  <si>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</si>
  <si>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</si>
  <si>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</si>
  <si>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</si>
  <si>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</si>
  <si>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</si>
  <si>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</si>
  <si>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</si>
  <si>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</si>
  <si>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</si>
  <si>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</si>
  <si>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</si>
  <si>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</si>
  <si>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</si>
  <si>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</si>
  <si>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</si>
  <si>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</si>
  <si>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</si>
  <si>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</si>
  <si>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</si>
  <si>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</si>
  <si>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</si>
  <si>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</si>
  <si>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</si>
  <si>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</si>
  <si>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</si>
  <si>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</si>
  <si>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</si>
  <si>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</si>
  <si>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</si>
  <si>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</si>
  <si>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</si>
  <si>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</si>
  <si>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</si>
  <si>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</si>
  <si>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</si>
  <si>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</si>
  <si>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</si>
  <si>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</si>
  <si>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</si>
  <si>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</si>
  <si>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</si>
  <si>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</si>
  <si>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</si>
  <si>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</si>
  <si>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</si>
  <si>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</si>
  <si>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</si>
  <si>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</si>
  <si>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</si>
  <si>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</si>
  <si>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</si>
  <si>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</si>
  <si>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</si>
  <si>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</si>
  <si>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</si>
  <si>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</si>
  <si>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</si>
  <si>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</si>
  <si>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</si>
  <si>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</si>
  <si>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</si>
  <si>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</si>
  <si>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</si>
  <si>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</si>
  <si>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</si>
  <si>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</si>
  <si>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</si>
  <si>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</si>
  <si>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</si>
  <si>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</si>
  <si>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</si>
  <si>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</si>
  <si>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</si>
  <si>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</si>
  <si>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</si>
  <si>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</si>
  <si>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</si>
  <si>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</si>
  <si>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</si>
  <si>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</si>
  <si>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</si>
  <si>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</si>
  <si>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</si>
  <si>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</si>
  <si>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</si>
  <si>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</si>
  <si>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</si>
  <si>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</si>
  <si>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</si>
  <si>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</si>
  <si>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</si>
  <si>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</si>
  <si>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</si>
  <si>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</si>
  <si>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</si>
  <si>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</si>
  <si>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</si>
  <si>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</si>
  <si>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</si>
  <si>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</si>
  <si>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</si>
  <si>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</si>
  <si>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</si>
  <si>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</si>
  <si>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</si>
  <si>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</si>
  <si>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</si>
  <si>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</si>
  <si>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</si>
  <si>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</si>
  <si>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</si>
  <si>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</si>
  <si>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</si>
  <si>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</si>
  <si>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</si>
  <si>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</si>
  <si>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</si>
  <si>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</si>
  <si>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</si>
  <si>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</si>
  <si>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</si>
  <si>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</si>
  <si>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</si>
  <si>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</si>
  <si>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</si>
  <si>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</si>
  <si>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</si>
  <si>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</si>
  <si>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</si>
  <si>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</si>
  <si>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</si>
  <si>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</si>
  <si>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</si>
  <si>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</si>
  <si>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</si>
  <si>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</si>
  <si>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</si>
  <si>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</si>
  <si>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</si>
  <si>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</si>
  <si>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</si>
  <si>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</si>
  <si>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</si>
  <si>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</si>
  <si>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</si>
  <si>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</si>
  <si>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</si>
  <si>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</si>
  <si>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</si>
  <si>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</si>
  <si>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</si>
  <si>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</si>
  <si>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</si>
  <si>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</si>
  <si>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</si>
  <si>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</si>
  <si>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</si>
  <si>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</si>
  <si>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</si>
  <si>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</si>
  <si>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</si>
  <si>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</si>
  <si>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</si>
  <si>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</si>
  <si>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</si>
  <si>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</si>
  <si>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</si>
  <si>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</si>
  <si>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</si>
  <si>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</si>
  <si>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</si>
  <si>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</si>
  <si>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</si>
  <si>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</si>
  <si>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</si>
  <si>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</si>
  <si>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</si>
  <si>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</si>
  <si>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</si>
  <si>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</si>
  <si>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</si>
  <si>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</si>
  <si>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</si>
  <si>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</si>
  <si>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</si>
  <si>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</si>
  <si>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</si>
  <si>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</si>
  <si>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</si>
  <si>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</si>
  <si>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</si>
  <si>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</si>
  <si>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</si>
  <si>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</si>
  <si>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</si>
  <si>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</si>
  <si>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</si>
  <si>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</si>
  <si>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</si>
  <si>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</si>
  <si>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</si>
  <si>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</si>
  <si>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</si>
  <si>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</si>
  <si>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</si>
  <si>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</si>
  <si>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</si>
  <si>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</si>
  <si>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</si>
  <si>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</si>
  <si>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</si>
  <si>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</si>
  <si>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</si>
  <si>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</si>
  <si>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</si>
  <si>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</si>
  <si>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</si>
  <si>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</si>
  <si>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</si>
  <si>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</si>
  <si>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</si>
  <si>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</si>
  <si>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</si>
  <si>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</si>
  <si>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</si>
  <si>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</si>
  <si>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</si>
  <si>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</si>
  <si>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</si>
  <si>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</si>
  <si>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</si>
  <si>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</si>
  <si>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</si>
  <si>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</si>
  <si>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</si>
  <si>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</si>
  <si>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</si>
  <si>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</si>
  <si>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</si>
  <si>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</si>
  <si>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</si>
  <si>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</si>
  <si>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</si>
  <si>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</si>
  <si>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</si>
  <si>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</si>
  <si>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</si>
  <si>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</si>
  <si>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</si>
  <si>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</si>
  <si>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</si>
  <si>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</si>
  <si>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</si>
  <si>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</si>
  <si>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</si>
  <si>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</si>
  <si>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</si>
  <si>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</si>
  <si>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</si>
  <si>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</si>
  <si>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</si>
  <si>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</si>
  <si>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</si>
  <si>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</si>
  <si>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</si>
  <si>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</si>
  <si>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</si>
  <si>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</si>
  <si>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</si>
  <si>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</si>
  <si>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</si>
  <si>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</si>
  <si>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</si>
  <si>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</si>
  <si>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</si>
  <si>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</si>
  <si>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</si>
  <si>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</si>
  <si>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</si>
  <si>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</si>
  <si>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</si>
  <si>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</si>
  <si>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</si>
  <si>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</si>
  <si>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</si>
  <si>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</si>
  <si>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</si>
  <si>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</si>
  <si>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</si>
  <si>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</si>
  <si>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</si>
  <si>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</si>
  <si>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</si>
  <si>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</si>
  <si>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</si>
  <si>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</si>
  <si>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</si>
  <si>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</si>
  <si>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</si>
  <si>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</si>
  <si>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</si>
  <si>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</si>
  <si>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</si>
  <si>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</si>
  <si>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</si>
  <si>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</si>
  <si>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</si>
  <si>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</si>
  <si>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</si>
  <si>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</si>
  <si>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</si>
  <si>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</si>
  <si>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</si>
  <si>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</si>
  <si>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</si>
  <si>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</si>
  <si>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</si>
  <si>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</si>
  <si>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</si>
  <si>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</si>
  <si>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</si>
  <si>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</si>
  <si>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</si>
  <si>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</si>
  <si>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</si>
  <si>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</si>
  <si>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</si>
  <si>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</si>
  <si>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</si>
  <si>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</si>
  <si>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</si>
  <si>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</si>
  <si>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</si>
  <si>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</si>
  <si>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</si>
  <si>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</si>
  <si>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</si>
  <si>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</si>
  <si>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</si>
  <si>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</si>
  <si>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</si>
  <si>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</si>
  <si>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</si>
  <si>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</si>
  <si>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</si>
  <si>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</si>
  <si>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</si>
  <si>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</si>
  <si>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</si>
  <si>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</si>
  <si>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</si>
  <si>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</si>
  <si>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</si>
  <si>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</si>
  <si>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</si>
  <si>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</si>
  <si>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</si>
  <si>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</si>
  <si>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</si>
  <si>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</si>
  <si>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</si>
  <si>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</si>
  <si>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</si>
  <si>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</si>
  <si>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</si>
  <si>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</si>
  <si>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</si>
  <si>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</si>
  <si>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</si>
  <si>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</si>
  <si>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</si>
  <si>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</si>
  <si>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</si>
  <si>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</si>
  <si>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</si>
  <si>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</si>
  <si>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</si>
  <si>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</si>
  <si>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</si>
  <si>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</si>
  <si>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</si>
  <si>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</si>
  <si>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</si>
  <si>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</si>
  <si>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</si>
  <si>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</si>
  <si>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</si>
  <si>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</si>
  <si>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</si>
  <si>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</si>
  <si>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</si>
  <si>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</si>
  <si>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</si>
  <si>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</si>
  <si>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</si>
  <si>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</si>
  <si>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</si>
  <si>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</si>
  <si>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</si>
  <si>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</si>
  <si>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</si>
  <si>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</si>
  <si>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</si>
  <si>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</si>
  <si>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</si>
  <si>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</si>
  <si>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</si>
  <si>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</si>
  <si>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</si>
  <si>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</si>
  <si>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</si>
  <si>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</si>
  <si>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</si>
  <si>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</si>
  <si>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</si>
  <si>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</si>
  <si>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</si>
  <si>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</si>
  <si>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</si>
  <si>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</si>
  <si>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</si>
  <si>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</si>
  <si>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</si>
  <si>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</si>
  <si>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</si>
  <si>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</si>
  <si>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</si>
  <si>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</si>
  <si>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</si>
  <si>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</si>
  <si>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</si>
  <si>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</si>
  <si>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</si>
  <si>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</si>
  <si>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</si>
  <si>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</si>
  <si>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</si>
  <si>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</si>
  <si>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</si>
  <si>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</si>
  <si>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</si>
  <si>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</si>
  <si>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</si>
  <si>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</si>
  <si>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</si>
  <si>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</si>
  <si>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</si>
  <si>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</si>
  <si>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</si>
  <si>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</si>
  <si>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</si>
  <si>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</si>
  <si>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</si>
  <si>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</si>
  <si>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</si>
  <si>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</si>
  <si>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</si>
  <si>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</si>
  <si>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</si>
  <si>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</si>
  <si>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</si>
  <si>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</si>
  <si>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</si>
  <si>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</si>
  <si>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</si>
  <si>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</si>
  <si>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</si>
  <si>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</si>
  <si>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</si>
  <si>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</si>
  <si>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</si>
  <si>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</si>
  <si>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</si>
  <si>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</si>
  <si>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</si>
  <si>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</si>
  <si>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</si>
  <si>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</si>
  <si>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</si>
  <si>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</si>
  <si>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</si>
  <si>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</si>
  <si>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</si>
  <si>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</si>
  <si>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</si>
  <si>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</si>
  <si>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</si>
  <si>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</si>
  <si>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</si>
  <si>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</si>
  <si>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</si>
  <si>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</si>
  <si>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</si>
  <si>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</si>
  <si>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</si>
  <si>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</si>
  <si>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</si>
  <si>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</si>
  <si>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</si>
  <si>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</si>
  <si>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</si>
  <si>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</si>
  <si>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</si>
  <si>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</si>
  <si>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</si>
  <si>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</si>
  <si>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</si>
  <si>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</si>
  <si>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</si>
  <si>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</si>
  <si>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</si>
  <si>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</si>
  <si>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</si>
  <si>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</si>
  <si>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</si>
  <si>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</si>
  <si>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</si>
  <si>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</si>
  <si>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</si>
  <si>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</si>
  <si>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</si>
  <si>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</si>
  <si>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</si>
  <si>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</si>
  <si>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</si>
  <si>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</si>
  <si>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</si>
  <si>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</si>
  <si>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</si>
  <si>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</si>
  <si>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</si>
  <si>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</si>
  <si>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</si>
  <si>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</si>
  <si>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</si>
  <si>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</si>
  <si>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</si>
  <si>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</si>
  <si>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</si>
  <si>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</si>
  <si>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</si>
  <si>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</si>
  <si>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</si>
  <si>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</si>
  <si>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</si>
  <si>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</si>
  <si>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</si>
  <si>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</si>
  <si>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</si>
  <si>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</si>
  <si>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</si>
  <si>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</si>
  <si>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</si>
  <si>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</si>
  <si>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</si>
  <si>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</si>
  <si>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</si>
  <si>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</si>
  <si>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</si>
  <si>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</si>
  <si>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</si>
  <si>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</si>
  <si>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</si>
  <si>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</si>
  <si>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</si>
  <si>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</si>
  <si>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</si>
  <si>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</si>
  <si>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</si>
  <si>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</si>
  <si>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</si>
  <si>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</si>
  <si>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</si>
  <si>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</si>
  <si>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</si>
  <si>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</si>
  <si>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</si>
  <si>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</si>
  <si>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</si>
  <si>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</si>
  <si>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</si>
  <si>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</si>
  <si>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</si>
  <si>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</si>
  <si>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</si>
  <si>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</si>
  <si>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</si>
  <si>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</si>
  <si>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</si>
  <si>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</si>
  <si>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</si>
  <si>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</si>
  <si>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</si>
  <si>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</si>
  <si>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</si>
  <si>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</si>
  <si>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</si>
  <si>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</si>
  <si>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</si>
  <si>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</si>
  <si>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</si>
  <si>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</si>
  <si>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</si>
  <si>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</si>
  <si>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</si>
  <si>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</si>
  <si>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</si>
  <si>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</si>
  <si>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</si>
  <si>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</si>
  <si>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</si>
  <si>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</si>
  <si>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</si>
  <si>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</si>
  <si>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</si>
  <si>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</si>
  <si>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</si>
  <si>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</si>
  <si>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</si>
  <si>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</si>
  <si>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</si>
  <si>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</si>
  <si>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</si>
  <si>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</si>
  <si>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</si>
  <si>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</si>
  <si>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</si>
  <si>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</si>
  <si>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</si>
  <si>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</si>
  <si>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</si>
  <si>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</si>
  <si>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</si>
  <si>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</si>
  <si>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</si>
  <si>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</si>
  <si>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</si>
  <si>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</si>
  <si>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</si>
  <si>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</si>
  <si>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</si>
  <si>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</si>
  <si>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</si>
  <si>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</si>
  <si>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</si>
  <si>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</si>
  <si>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</si>
  <si>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</si>
  <si>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</si>
  <si>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</si>
  <si>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</si>
  <si>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</si>
  <si>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</si>
  <si>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</si>
  <si>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</si>
  <si>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</si>
  <si>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</si>
  <si>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</si>
  <si>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</si>
  <si>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</si>
  <si>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</si>
  <si>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</si>
  <si>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</si>
  <si>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</si>
  <si>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</si>
  <si>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</si>
  <si>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</si>
  <si>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</si>
  <si>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</si>
  <si>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</si>
  <si>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</si>
  <si>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</si>
  <si>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</si>
  <si>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</si>
  <si>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</si>
  <si>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</si>
  <si>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</si>
  <si>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</si>
  <si>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</si>
  <si>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</si>
  <si>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</si>
  <si>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</si>
  <si>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</si>
  <si>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</si>
  <si>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</si>
  <si>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</si>
  <si>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</si>
  <si>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</si>
  <si>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</si>
  <si>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</si>
  <si>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</si>
  <si>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</si>
  <si>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</si>
  <si>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</si>
  <si>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</si>
  <si>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</si>
  <si>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</si>
  <si>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</si>
  <si>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</si>
  <si>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</si>
  <si>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</si>
  <si>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</si>
  <si>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</si>
  <si>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</si>
  <si>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</si>
  <si>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</si>
  <si>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</si>
  <si>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</si>
  <si>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</si>
  <si>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</si>
  <si>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</si>
  <si>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</si>
  <si>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</si>
  <si>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</si>
  <si>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</si>
  <si>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</si>
  <si>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</si>
  <si>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</si>
  <si>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</si>
  <si>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</si>
  <si>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</si>
  <si>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</si>
  <si>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</si>
  <si>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</si>
  <si>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</si>
  <si>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</si>
  <si>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</si>
  <si>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</si>
  <si>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</si>
  <si>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</si>
  <si>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</si>
  <si>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</si>
  <si>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</si>
  <si>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</si>
  <si>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</si>
  <si>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</si>
  <si>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</si>
  <si>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</si>
  <si>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</si>
  <si>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</si>
  <si>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</si>
  <si>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</si>
  <si>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</si>
  <si>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</si>
  <si>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</si>
  <si>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</si>
  <si>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</si>
  <si>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</si>
  <si>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</si>
  <si>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</si>
  <si>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</si>
  <si>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</si>
  <si>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</si>
  <si>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</si>
  <si>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</si>
  <si>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</si>
  <si>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</si>
  <si>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</si>
  <si>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</si>
  <si>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</si>
  <si>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</si>
  <si>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</si>
  <si>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</si>
  <si>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</si>
  <si>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</si>
  <si>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</si>
  <si>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</si>
  <si>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</si>
  <si>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</si>
  <si>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</si>
  <si>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</si>
  <si>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</si>
  <si>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</si>
  <si>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</si>
  <si>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</si>
  <si>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</si>
  <si>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</si>
  <si>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</si>
  <si>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</si>
  <si>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</si>
  <si>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</si>
  <si>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</si>
  <si>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</si>
  <si>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</si>
  <si>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</si>
  <si>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</si>
  <si>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</si>
  <si>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</si>
  <si>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</si>
  <si>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</si>
  <si>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</si>
  <si>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</si>
  <si>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</si>
  <si>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</si>
  <si>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</si>
  <si>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</si>
  <si>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</si>
  <si>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</si>
  <si>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</si>
  <si>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</si>
  <si>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</si>
  <si>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</si>
  <si>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</si>
  <si>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</si>
  <si>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</si>
  <si>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</si>
  <si>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</si>
  <si>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</si>
  <si>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</si>
  <si>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</si>
  <si>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</si>
  <si>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</si>
  <si>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</si>
  <si>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</si>
  <si>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</si>
  <si>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</si>
  <si>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</si>
  <si>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</si>
  <si>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</si>
  <si>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</si>
  <si>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</si>
  <si>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</si>
  <si>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</si>
  <si>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</si>
  <si>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</si>
  <si>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</si>
  <si>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</si>
  <si>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</si>
  <si>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</si>
  <si>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</si>
  <si>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</si>
  <si>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</si>
  <si>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</si>
  <si>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</si>
  <si>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</si>
  <si>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</si>
  <si>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</si>
  <si>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</si>
  <si>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</si>
  <si>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</si>
  <si>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</si>
  <si>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</si>
  <si>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</si>
  <si>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</si>
  <si>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</si>
  <si>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</si>
  <si>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</si>
  <si>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</si>
  <si>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</si>
  <si>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</si>
  <si>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</si>
  <si>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</si>
  <si>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</si>
  <si>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</si>
  <si>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</si>
  <si>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</si>
  <si>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</si>
  <si>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</si>
  <si>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</si>
  <si>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</si>
  <si>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</si>
  <si>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</si>
  <si>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</si>
  <si>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</si>
  <si>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</si>
  <si>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</si>
  <si>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</si>
  <si>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</si>
  <si>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</si>
  <si>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</si>
  <si>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</si>
  <si>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</si>
  <si>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</si>
  <si>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</si>
  <si>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</si>
  <si>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</si>
  <si>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</si>
  <si>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</si>
  <si>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</si>
  <si>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</si>
  <si>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</si>
  <si>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</si>
  <si>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</si>
  <si>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</si>
  <si>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</si>
  <si>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</si>
  <si>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</si>
  <si>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</si>
  <si>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</si>
  <si>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</si>
  <si>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</si>
  <si>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</si>
  <si>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</si>
  <si>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</si>
  <si>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</si>
  <si>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</si>
  <si>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</si>
  <si>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</si>
  <si>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</si>
  <si>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</si>
  <si>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</si>
  <si>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</si>
  <si>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</si>
  <si>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</si>
  <si>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</si>
  <si>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</si>
  <si>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</si>
  <si>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</si>
  <si>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</si>
  <si>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</si>
  <si>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</si>
  <si>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</si>
  <si>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</si>
  <si>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</si>
  <si>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</si>
  <si>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</si>
  <si>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</si>
  <si>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</si>
  <si>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</si>
  <si>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</si>
  <si>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</si>
  <si>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</si>
  <si>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</si>
  <si>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</si>
  <si>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</si>
  <si>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</si>
  <si>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</si>
  <si>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</si>
  <si>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</si>
  <si>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</si>
  <si>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</si>
  <si>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</si>
  <si>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</si>
  <si>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</si>
  <si>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</si>
  <si>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</si>
  <si>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</si>
  <si>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</si>
  <si>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</si>
  <si>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</si>
  <si>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</si>
  <si>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</si>
  <si>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</si>
  <si>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</si>
  <si>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</si>
  <si>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</si>
  <si>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</si>
  <si>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</si>
  <si>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</si>
  <si>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</si>
  <si>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</si>
  <si>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</si>
  <si>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</si>
  <si>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</si>
  <si>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</si>
  <si>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</si>
  <si>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</si>
  <si>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</si>
  <si>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</si>
  <si>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</si>
  <si>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</si>
  <si>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</si>
  <si>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</si>
  <si>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</si>
  <si>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</si>
  <si>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</si>
  <si>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</si>
  <si>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</si>
  <si>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</si>
  <si>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</si>
  <si>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</si>
  <si>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</si>
  <si>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</si>
  <si>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</si>
  <si>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</si>
  <si>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</si>
  <si>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</si>
  <si>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</si>
  <si>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</si>
  <si>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</si>
  <si>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</si>
  <si>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</si>
  <si>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</si>
  <si>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</si>
  <si>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</si>
  <si>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</si>
  <si>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</si>
  <si>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</si>
  <si>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</si>
  <si>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</si>
  <si>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</si>
  <si>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</si>
  <si>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</si>
  <si>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</si>
  <si>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</si>
  <si>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</si>
  <si>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</si>
  <si>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</si>
  <si>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</si>
  <si>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</si>
  <si>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</si>
  <si>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</si>
  <si>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</si>
  <si>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</si>
  <si>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</si>
  <si>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</si>
  <si>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</si>
  <si>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</si>
  <si>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</si>
  <si>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</si>
  <si>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</si>
  <si>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</si>
  <si>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</si>
  <si>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</si>
  <si>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</si>
  <si>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</si>
  <si>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</si>
  <si>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</si>
  <si>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</si>
  <si>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</si>
  <si>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</si>
  <si>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</si>
  <si>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</si>
  <si>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</si>
  <si>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</si>
  <si>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</si>
  <si>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</si>
  <si>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</si>
  <si>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</si>
  <si>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</si>
  <si>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</si>
  <si>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</si>
  <si>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</si>
  <si>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</si>
  <si>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</si>
  <si>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</si>
  <si>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</si>
  <si>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</si>
  <si>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</si>
  <si>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</si>
  <si>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</si>
  <si>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</si>
  <si>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</si>
  <si>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</si>
  <si>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</si>
  <si>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</si>
  <si>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</si>
  <si>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</si>
  <si>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</si>
  <si>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</si>
  <si>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</si>
  <si>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</si>
  <si>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</si>
  <si>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</si>
  <si>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</si>
  <si>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</si>
  <si>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</si>
  <si>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</si>
  <si>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</si>
  <si>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</si>
  <si>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</si>
  <si>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</si>
  <si>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</si>
  <si>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</si>
  <si>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</si>
  <si>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</si>
  <si>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</si>
  <si>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</si>
  <si>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</si>
  <si>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</si>
  <si>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</si>
  <si>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</si>
  <si>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</si>
  <si>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</si>
  <si>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</si>
  <si>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</si>
  <si>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</si>
  <si>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</si>
  <si>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</si>
  <si>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</si>
  <si>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</si>
  <si>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</si>
  <si>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</si>
  <si>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</si>
  <si>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</si>
  <si>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</si>
  <si>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</si>
  <si>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</si>
  <si>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</si>
  <si>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</si>
  <si>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</si>
  <si>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</si>
  <si>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</si>
  <si>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</si>
  <si>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</si>
  <si>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</si>
  <si>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</si>
  <si>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</si>
  <si>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</si>
  <si>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</si>
  <si>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</si>
  <si>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</si>
  <si>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</si>
  <si>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</si>
  <si>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</si>
  <si>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</si>
  <si>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</si>
  <si>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</si>
  <si>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</si>
  <si>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</si>
  <si>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</si>
  <si>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</si>
  <si>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</si>
  <si>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</si>
  <si>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</si>
  <si>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</si>
  <si>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</si>
  <si>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</si>
  <si>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</si>
  <si>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</si>
  <si>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</si>
  <si>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</si>
  <si>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</si>
  <si>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</si>
  <si>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</si>
  <si>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</si>
  <si>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</si>
  <si>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</si>
  <si>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</si>
  <si>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</si>
  <si>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</si>
  <si>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</si>
  <si>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</si>
  <si>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</si>
  <si>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</si>
  <si>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</si>
  <si>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</si>
  <si>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</si>
  <si>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</si>
  <si>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</si>
  <si>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</si>
  <si>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</si>
  <si>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</si>
  <si>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</si>
  <si>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</si>
  <si>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</si>
  <si>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</si>
  <si>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</si>
  <si>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</si>
  <si>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</si>
  <si>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</si>
  <si>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</si>
  <si>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</si>
  <si>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</si>
  <si>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</si>
  <si>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</si>
  <si>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</si>
  <si>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</si>
  <si>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</si>
  <si>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</si>
  <si>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</si>
  <si>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</si>
  <si>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</si>
  <si>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</si>
  <si>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</si>
  <si>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</si>
  <si>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</si>
  <si>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</si>
  <si>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</si>
  <si>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</si>
  <si>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</si>
  <si>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</si>
  <si>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</si>
  <si>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</si>
  <si>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</si>
  <si>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</si>
  <si>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</si>
  <si>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</si>
  <si>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</si>
  <si>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</si>
  <si>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</si>
  <si>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</si>
  <si>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</si>
  <si>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</si>
  <si>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</si>
  <si>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</si>
  <si>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</si>
  <si>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</si>
  <si>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</si>
  <si>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</si>
  <si>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</si>
  <si>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</si>
  <si>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</si>
  <si>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</si>
  <si>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</si>
  <si>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</si>
  <si>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</si>
  <si>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</si>
  <si>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</si>
  <si>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</si>
  <si>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</si>
  <si>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</si>
  <si>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</si>
  <si>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</si>
  <si>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</si>
  <si>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</si>
  <si>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</si>
  <si>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</si>
  <si>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</si>
  <si>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</si>
  <si>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</si>
  <si>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</si>
  <si>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</si>
  <si>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</si>
  <si>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</si>
  <si>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</si>
  <si>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</si>
  <si>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</si>
  <si>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</si>
  <si>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</si>
  <si>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</si>
  <si>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</si>
  <si>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</si>
  <si>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</si>
  <si>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</si>
  <si>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</si>
  <si>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</si>
  <si>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</si>
  <si>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</si>
  <si>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</si>
  <si>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</si>
  <si>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</si>
  <si>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</si>
  <si>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</si>
  <si>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</si>
  <si>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</si>
  <si>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</si>
  <si>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</si>
  <si>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</si>
  <si>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</si>
  <si>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</si>
  <si>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</si>
  <si>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</si>
  <si>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</si>
  <si>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</si>
  <si>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</si>
  <si>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</si>
  <si>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</si>
  <si>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</si>
  <si>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</si>
  <si>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</si>
  <si>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</si>
  <si>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</si>
  <si>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</si>
  <si>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</si>
  <si>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</si>
  <si>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</si>
  <si>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</si>
  <si>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</si>
  <si>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</si>
  <si>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</si>
  <si>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</si>
  <si>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</si>
  <si>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</si>
  <si>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</si>
  <si>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</si>
  <si>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</si>
  <si>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</si>
  <si>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</si>
  <si>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</si>
  <si>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</si>
  <si>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</si>
  <si>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</si>
  <si>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</si>
  <si>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</si>
  <si>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</si>
  <si>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</si>
  <si>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</si>
  <si>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</si>
  <si>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</si>
  <si>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</si>
  <si>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</si>
  <si>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</si>
  <si>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</si>
  <si>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</si>
  <si>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</si>
  <si>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</si>
  <si>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</si>
  <si>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</si>
  <si>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</si>
  <si>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</si>
  <si>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</si>
  <si>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</si>
  <si>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</si>
  <si>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</si>
  <si>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</si>
  <si>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</si>
  <si>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</si>
  <si>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</si>
  <si>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</si>
  <si>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</si>
  <si>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</si>
  <si>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</si>
  <si>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</si>
  <si>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</si>
  <si>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</si>
  <si>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</si>
  <si>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</si>
  <si>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</si>
  <si>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</si>
  <si>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</si>
  <si>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</si>
  <si>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</si>
  <si>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</si>
  <si>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</si>
  <si>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</si>
  <si>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</si>
  <si>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</si>
  <si>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</si>
  <si>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</si>
  <si>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</si>
  <si>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</si>
  <si>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</si>
  <si>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</si>
  <si>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</si>
  <si>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</si>
  <si>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</si>
  <si>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</si>
  <si>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</si>
  <si>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</si>
  <si>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</si>
  <si>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</si>
  <si>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</si>
  <si>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</si>
  <si>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</si>
  <si>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</si>
  <si>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</si>
  <si>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</si>
  <si>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</si>
  <si>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</si>
  <si>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</si>
  <si>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</si>
  <si>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</si>
  <si>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</si>
  <si>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</si>
  <si>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</si>
  <si>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</si>
  <si>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</si>
  <si>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</si>
  <si>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</si>
  <si>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</si>
  <si>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</si>
  <si>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</si>
  <si>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</si>
  <si>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</si>
  <si>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</si>
  <si>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</si>
  <si>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</si>
  <si>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</si>
  <si>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</si>
  <si>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</si>
  <si>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</si>
  <si>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</si>
  <si>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</si>
  <si>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</si>
  <si>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</si>
  <si>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</si>
  <si>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</si>
  <si>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</si>
  <si>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</si>
  <si>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</si>
  <si>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</si>
  <si>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</si>
  <si>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</si>
  <si>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</si>
  <si>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</si>
  <si>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</si>
  <si>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</si>
  <si>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</si>
  <si>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</si>
  <si>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</si>
  <si>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</si>
  <si>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</si>
  <si>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</si>
  <si>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</si>
  <si>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</si>
  <si>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</si>
  <si>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</si>
  <si>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</si>
  <si>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</si>
  <si>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</si>
  <si>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</si>
  <si>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</si>
  <si>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</si>
  <si>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</si>
  <si>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</si>
  <si>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</si>
  <si>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</si>
  <si>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</si>
  <si>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</si>
  <si>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</si>
  <si>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</si>
  <si>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</si>
  <si>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</si>
  <si>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</si>
  <si>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</si>
  <si>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</si>
  <si>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</si>
  <si>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</si>
  <si>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</si>
  <si>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</si>
  <si>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</si>
  <si>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</si>
  <si>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</si>
  <si>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</si>
  <si>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</si>
  <si>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</si>
  <si>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</si>
  <si>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</si>
  <si>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</si>
  <si>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</si>
  <si>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</si>
  <si>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</si>
  <si>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</si>
  <si>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</si>
  <si>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</si>
  <si>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</si>
  <si>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</si>
  <si>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</si>
  <si>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</si>
  <si>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</si>
  <si>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</si>
  <si>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</si>
  <si>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</si>
  <si>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</si>
  <si>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</si>
  <si>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</si>
  <si>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</si>
  <si>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</si>
  <si>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</si>
  <si>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</si>
  <si>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</si>
  <si>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</si>
  <si>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</si>
  <si>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</si>
  <si>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</si>
  <si>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</si>
  <si>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</si>
  <si>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</si>
  <si>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</si>
  <si>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</si>
  <si>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</si>
  <si>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</si>
  <si>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</si>
  <si>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</si>
  <si>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</si>
  <si>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</si>
  <si>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</si>
  <si>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</si>
  <si>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</si>
  <si>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</si>
  <si>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</si>
  <si>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</si>
  <si>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</si>
  <si>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</si>
  <si>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</si>
  <si>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</si>
  <si>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</si>
  <si>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</si>
  <si>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</si>
  <si>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</si>
  <si>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</si>
  <si>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</si>
  <si>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</si>
  <si>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</si>
  <si>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</si>
  <si>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</si>
  <si>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</si>
  <si>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</si>
  <si>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</si>
  <si>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</si>
  <si>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</si>
  <si>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</si>
  <si>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</si>
  <si>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</si>
  <si>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</si>
  <si>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</si>
  <si>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</si>
  <si>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</si>
  <si>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</si>
  <si>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</si>
  <si>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</si>
  <si>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</si>
  <si>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</si>
  <si>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</si>
  <si>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</si>
  <si>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</si>
  <si>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</si>
  <si>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</si>
  <si>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</si>
  <si>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</si>
  <si>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</si>
  <si>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</si>
  <si>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</si>
  <si>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</si>
  <si>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</si>
  <si>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</si>
  <si>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</si>
  <si>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</si>
  <si>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</si>
  <si>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</si>
  <si>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</si>
  <si>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</si>
  <si>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</si>
  <si>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</si>
  <si>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</si>
  <si>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</si>
  <si>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</si>
  <si>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</si>
  <si>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</si>
  <si>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</si>
  <si>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</si>
  <si>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</si>
  <si>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</si>
  <si>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</si>
  <si>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</si>
  <si>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</si>
  <si>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</si>
  <si>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</si>
  <si>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</si>
  <si>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</si>
  <si>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</si>
  <si>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</si>
  <si>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</si>
  <si>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</si>
  <si>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</si>
  <si>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</si>
  <si>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</si>
  <si>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</si>
  <si>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</si>
  <si>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</si>
  <si>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</si>
  <si>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</si>
  <si>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</si>
  <si>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</si>
  <si>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</si>
  <si>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</si>
  <si>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</si>
  <si>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</si>
  <si>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</si>
  <si>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</si>
  <si>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</si>
  <si>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</si>
  <si>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</si>
  <si>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</si>
  <si>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</si>
  <si>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</si>
  <si>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</si>
  <si>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</si>
  <si>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</si>
  <si>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</si>
  <si>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地下空间年期修正（除商业）</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</si>
  <si>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</si>
  <si>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</si>
  <si>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北京市</t>
  </si>
  <si>
    <t>企业</t>
  </si>
  <si>
    <t>元</t>
  </si>
  <si>
    <t>总价</t>
  </si>
  <si>
    <t>商业</t>
  </si>
  <si>
    <t>无租约</t>
  </si>
  <si>
    <t>估价对象</t>
  </si>
  <si>
    <t>设定收益年期(n)</t>
  </si>
  <si>
    <t>押三</t>
  </si>
  <si>
    <t>按租金收入计税</t>
  </si>
  <si>
    <t>钢混</t>
  </si>
  <si>
    <t>非生产用房</t>
  </si>
  <si>
    <t>楼层修正</t>
  </si>
  <si>
    <t>按公示增长率计算</t>
  </si>
  <si>
    <t>收益法</t>
  </si>
  <si>
    <t>已包含在土地取得成本中</t>
  </si>
  <si>
    <t>未包含在土地购买价格中</t>
  </si>
  <si>
    <t>批发零售用地</t>
  </si>
  <si>
    <t>成本法</t>
  </si>
  <si>
    <t>是</t>
  </si>
  <si>
    <t>六通一平</t>
  </si>
  <si>
    <t>通热</t>
  </si>
  <si>
    <t>缺少</t>
  </si>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</sst>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184" fontId="56" fillId="18" borderId="1" xfId="0" applyNumberFormat="1" applyFont="1" applyFill="1" applyBorder="1" applyAlignment="1" applyProtection="1">
      <alignment horizontal="center" vertical="center" shrinkToFit="1"/>
      <protection locked="0"/>
    </xf>
    <xf numFmtId="0" fontId="48" fillId="18" borderId="5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right" vertical="center" wrapText="1"/>
      <protection locked="0"/>
    </xf>
    <xf numFmtId="0" fontId="48" fillId="18" borderId="11"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171450</xdr:colOff>
      <xdr:row>39</xdr:row>
      <xdr:rowOff>19050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43650" cy="6705600"/>
        </a:xfrm>
        <a:prstGeom prst="rect">
          <a:avLst/>
        </a:prstGeom>
        <a:noFill/>
        <a:ln w="1">
          <a:noFill/>
          <a:miter lim="800000"/>
          <a:headEnd/>
          <a:tailEnd type="none" w="med" len="med"/>
        </a:ln>
        <a:effectLst/>
      </xdr:spPr>
    </xdr:pic>
    <xdr:clientData/>
  </xdr:twoCellAnchor>
  <xdr:twoCellAnchor editAs="oneCell">
    <xdr:from>
      <xdr:col>0</xdr:col>
      <xdr:colOff>533400</xdr:colOff>
      <xdr:row>47</xdr:row>
      <xdr:rowOff>19050</xdr:rowOff>
    </xdr:from>
    <xdr:to>
      <xdr:col>9</xdr:col>
      <xdr:colOff>438150</xdr:colOff>
      <xdr:row>56</xdr:row>
      <xdr:rowOff>38100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533400" y="8077200"/>
          <a:ext cx="6076950" cy="1562100"/>
        </a:xfrm>
        <a:prstGeom prst="rect">
          <a:avLst/>
        </a:prstGeom>
        <a:noFill/>
        <a:ln w="1">
          <a:noFill/>
          <a:miter lim="800000"/>
          <a:headEnd/>
          <a:tailEnd type="none" w="med" len="med"/>
        </a:ln>
        <a:effectLst/>
      </xdr:spPr>
    </xdr:pic>
    <xdr:clientData/>
  </xdr:twoCellAnchor>
  <xdr:twoCellAnchor editAs="oneCell">
    <xdr:from>
      <xdr:col>0</xdr:col>
      <xdr:colOff>466725</xdr:colOff>
      <xdr:row>39</xdr:row>
      <xdr:rowOff>28575</xdr:rowOff>
    </xdr:from>
    <xdr:to>
      <xdr:col>9</xdr:col>
      <xdr:colOff>161925</xdr:colOff>
      <xdr:row>48</xdr:row>
      <xdr:rowOff>28575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466725" y="6715125"/>
          <a:ext cx="5867400" cy="1543050"/>
        </a:xfrm>
        <a:prstGeom prst="rect">
          <a:avLst/>
        </a:prstGeom>
        <a:noFill/>
        <a:ln w="1">
          <a:noFill/>
          <a:miter lim="800000"/>
          <a:headEnd/>
          <a:tailEnd type="none" w="med" len="med"/>
        </a:ln>
        <a:effectLst/>
      </xdr:spPr>
    </xdr:pic>
    <xdr:clientData/>
  </xdr:twoCellAnchor>
  <xdr:twoCellAnchor editAs="oneCell">
    <xdr:from>
      <xdr:col>9</xdr:col>
      <xdr:colOff>171450</xdr:colOff>
      <xdr:row>0</xdr:row>
      <xdr:rowOff>0</xdr:rowOff>
    </xdr:from>
    <xdr:to>
      <xdr:col>17</xdr:col>
      <xdr:colOff>619125</xdr:colOff>
      <xdr:row>19</xdr:row>
      <xdr:rowOff>38100</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343650" y="0"/>
          <a:ext cx="5934075" cy="3295650"/>
        </a:xfrm>
        <a:prstGeom prst="rect">
          <a:avLst/>
        </a:prstGeom>
        <a:noFill/>
        <a:ln w="1">
          <a:noFill/>
          <a:miter lim="800000"/>
          <a:headEnd/>
          <a:tailEnd type="none" w="med" len="med"/>
        </a:ln>
        <a:effectLst/>
      </xdr:spPr>
    </xdr:pic>
    <xdr:clientData/>
  </xdr:twoCellAnchor>
  <xdr:twoCellAnchor editAs="oneCell">
    <xdr:from>
      <xdr:col>9</xdr:col>
      <xdr:colOff>123825</xdr:colOff>
      <xdr:row>19</xdr:row>
      <xdr:rowOff>114300</xdr:rowOff>
    </xdr:from>
    <xdr:to>
      <xdr:col>18</xdr:col>
      <xdr:colOff>76200</xdr:colOff>
      <xdr:row>56</xdr:row>
      <xdr:rowOff>152400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6296025" y="3371850"/>
          <a:ext cx="6124575" cy="63817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600075</xdr:colOff>
      <xdr:row>8</xdr:row>
      <xdr:rowOff>161925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143875" cy="1533525"/>
        </a:xfrm>
        <a:prstGeom prst="rect">
          <a:avLst/>
        </a:prstGeom>
        <a:noFill/>
        <a:ln w="1">
          <a:noFill/>
          <a:miter lim="800000"/>
          <a:headEnd/>
          <a:tailEnd type="none" w="med" len="med"/>
        </a:ln>
        <a:effectLst/>
      </xdr:spPr>
    </xdr:pic>
    <xdr:clientData/>
  </xdr:twoCellAnchor>
  <xdr:twoCellAnchor editAs="oneCell">
    <xdr:from>
      <xdr:col>3</xdr:col>
      <xdr:colOff>47625</xdr:colOff>
      <xdr:row>8</xdr:row>
      <xdr:rowOff>19050</xdr:rowOff>
    </xdr:from>
    <xdr:to>
      <xdr:col>11</xdr:col>
      <xdr:colOff>323850</xdr:colOff>
      <xdr:row>19</xdr:row>
      <xdr:rowOff>47625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105025" y="1390650"/>
          <a:ext cx="5762625" cy="1914525"/>
        </a:xfrm>
        <a:prstGeom prst="rect">
          <a:avLst/>
        </a:prstGeom>
        <a:noFill/>
        <a:ln w="1">
          <a:noFill/>
          <a:miter lim="800000"/>
          <a:headEnd/>
          <a:tailEnd type="none" w="med" len="med"/>
        </a:ln>
        <a:effectLst/>
      </xdr:spPr>
    </xdr:pic>
    <xdr:clientData/>
  </xdr:twoCellAnchor>
  <xdr:twoCellAnchor editAs="oneCell">
    <xdr:from>
      <xdr:col>11</xdr:col>
      <xdr:colOff>381000</xdr:colOff>
      <xdr:row>0</xdr:row>
      <xdr:rowOff>28575</xdr:rowOff>
    </xdr:from>
    <xdr:to>
      <xdr:col>19</xdr:col>
      <xdr:colOff>180974</xdr:colOff>
      <xdr:row>21</xdr:row>
      <xdr:rowOff>120627</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7924800" y="28575"/>
          <a:ext cx="5286374" cy="3692502"/>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0</xdr:rowOff>
    </xdr:from>
    <xdr:to>
      <xdr:col>11</xdr:col>
      <xdr:colOff>371475</xdr:colOff>
      <xdr:row>29</xdr:row>
      <xdr:rowOff>19050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3600450"/>
          <a:ext cx="7915275" cy="1390650"/>
        </a:xfrm>
        <a:prstGeom prst="rect">
          <a:avLst/>
        </a:prstGeom>
        <a:noFill/>
        <a:ln w="1">
          <a:noFill/>
          <a:miter lim="800000"/>
          <a:headEnd/>
          <a:tailEnd type="none" w="med" len="med"/>
        </a:ln>
        <a:effectLst/>
      </xdr:spPr>
    </xdr:pic>
    <xdr:clientData/>
  </xdr:twoCellAnchor>
  <xdr:twoCellAnchor editAs="oneCell">
    <xdr:from>
      <xdr:col>3</xdr:col>
      <xdr:colOff>542925</xdr:colOff>
      <xdr:row>28</xdr:row>
      <xdr:rowOff>133350</xdr:rowOff>
    </xdr:from>
    <xdr:to>
      <xdr:col>11</xdr:col>
      <xdr:colOff>228600</xdr:colOff>
      <xdr:row>37</xdr:row>
      <xdr:rowOff>47625</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2600325" y="4933950"/>
          <a:ext cx="5172075" cy="145732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0</xdr:rowOff>
    </xdr:from>
    <xdr:to>
      <xdr:col>11</xdr:col>
      <xdr:colOff>314325</xdr:colOff>
      <xdr:row>47</xdr:row>
      <xdr:rowOff>76200</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6686550"/>
          <a:ext cx="7858125" cy="1447800"/>
        </a:xfrm>
        <a:prstGeom prst="rect">
          <a:avLst/>
        </a:prstGeom>
        <a:noFill/>
        <a:ln w="1">
          <a:noFill/>
          <a:miter lim="800000"/>
          <a:headEnd/>
          <a:tailEnd type="none" w="med" len="med"/>
        </a:ln>
        <a:effectLst/>
      </xdr:spPr>
    </xdr:pic>
    <xdr:clientData/>
  </xdr:twoCellAnchor>
  <xdr:twoCellAnchor editAs="oneCell">
    <xdr:from>
      <xdr:col>3</xdr:col>
      <xdr:colOff>133350</xdr:colOff>
      <xdr:row>47</xdr:row>
      <xdr:rowOff>19050</xdr:rowOff>
    </xdr:from>
    <xdr:to>
      <xdr:col>11</xdr:col>
      <xdr:colOff>314325</xdr:colOff>
      <xdr:row>55</xdr:row>
      <xdr:rowOff>133350</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2190750" y="8077200"/>
          <a:ext cx="5667375" cy="1485900"/>
        </a:xfrm>
        <a:prstGeom prst="rect">
          <a:avLst/>
        </a:prstGeom>
        <a:noFill/>
        <a:ln w="1">
          <a:noFill/>
          <a:miter lim="800000"/>
          <a:headEnd/>
          <a:tailEnd type="none" w="med" len="med"/>
        </a:ln>
        <a:effectLst/>
      </xdr:spPr>
    </xdr:pic>
    <xdr:clientData/>
  </xdr:twoCellAnchor>
  <xdr:twoCellAnchor editAs="oneCell">
    <xdr:from>
      <xdr:col>11</xdr:col>
      <xdr:colOff>190500</xdr:colOff>
      <xdr:row>37</xdr:row>
      <xdr:rowOff>167884</xdr:rowOff>
    </xdr:from>
    <xdr:to>
      <xdr:col>20</xdr:col>
      <xdr:colOff>228600</xdr:colOff>
      <xdr:row>58</xdr:row>
      <xdr:rowOff>123825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7734300" y="6511534"/>
          <a:ext cx="6210300" cy="3556391"/>
        </a:xfrm>
        <a:prstGeom prst="rect">
          <a:avLst/>
        </a:prstGeom>
        <a:noFill/>
        <a:ln w="1">
          <a:noFill/>
          <a:miter lim="800000"/>
          <a:headEnd/>
          <a:tailEnd type="none" w="med" len="med"/>
        </a:ln>
        <a:effectLst/>
      </xdr:spPr>
    </xdr:pic>
    <xdr:clientData/>
  </xdr:twoCellAnchor>
  <xdr:twoCellAnchor editAs="oneCell">
    <xdr:from>
      <xdr:col>3</xdr:col>
      <xdr:colOff>76200</xdr:colOff>
      <xdr:row>63</xdr:row>
      <xdr:rowOff>142875</xdr:rowOff>
    </xdr:from>
    <xdr:to>
      <xdr:col>10</xdr:col>
      <xdr:colOff>561975</xdr:colOff>
      <xdr:row>72</xdr:row>
      <xdr:rowOff>123825</xdr:rowOff>
    </xdr:to>
    <xdr:pic>
      <xdr:nvPicPr>
        <xdr:cNvPr id="64521"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2133600" y="10944225"/>
          <a:ext cx="5286375" cy="1524000"/>
        </a:xfrm>
        <a:prstGeom prst="rect">
          <a:avLst/>
        </a:prstGeom>
        <a:noFill/>
        <a:ln w="1">
          <a:noFill/>
          <a:miter lim="800000"/>
          <a:headEnd/>
          <a:tailEnd type="none" w="med" len="med"/>
        </a:ln>
        <a:effectLst/>
      </xdr:spPr>
    </xdr:pic>
    <xdr:clientData/>
  </xdr:twoCellAnchor>
  <xdr:twoCellAnchor editAs="oneCell">
    <xdr:from>
      <xdr:col>11</xdr:col>
      <xdr:colOff>133349</xdr:colOff>
      <xdr:row>58</xdr:row>
      <xdr:rowOff>8993</xdr:rowOff>
    </xdr:from>
    <xdr:to>
      <xdr:col>19</xdr:col>
      <xdr:colOff>676274</xdr:colOff>
      <xdr:row>77</xdr:row>
      <xdr:rowOff>95250</xdr:rowOff>
    </xdr:to>
    <xdr:pic>
      <xdr:nvPicPr>
        <xdr:cNvPr id="64522"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7677149" y="9953093"/>
          <a:ext cx="6029325" cy="3343807"/>
        </a:xfrm>
        <a:prstGeom prst="rect">
          <a:avLst/>
        </a:prstGeom>
        <a:noFill/>
        <a:ln w="1">
          <a:noFill/>
          <a:miter lim="800000"/>
          <a:headEnd/>
          <a:tailEnd type="none" w="med" len="med"/>
        </a:ln>
        <a:effectLst/>
      </xdr:spPr>
    </xdr:pic>
    <xdr:clientData/>
  </xdr:twoCellAnchor>
  <xdr:twoCellAnchor editAs="oneCell">
    <xdr:from>
      <xdr:col>0</xdr:col>
      <xdr:colOff>0</xdr:colOff>
      <xdr:row>56</xdr:row>
      <xdr:rowOff>123825</xdr:rowOff>
    </xdr:from>
    <xdr:to>
      <xdr:col>11</xdr:col>
      <xdr:colOff>190500</xdr:colOff>
      <xdr:row>65</xdr:row>
      <xdr:rowOff>47625</xdr:rowOff>
    </xdr:to>
    <xdr:pic>
      <xdr:nvPicPr>
        <xdr:cNvPr id="64523"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9725025"/>
          <a:ext cx="7734300" cy="1466850"/>
        </a:xfrm>
        <a:prstGeom prst="rect">
          <a:avLst/>
        </a:prstGeom>
        <a:noFill/>
        <a:ln w="1">
          <a:noFill/>
          <a:miter lim="800000"/>
          <a:headEnd/>
          <a:tailEnd type="none" w="med" len="med"/>
        </a:ln>
        <a:effectLst/>
      </xdr:spPr>
    </xdr:pic>
    <xdr:clientData/>
  </xdr:twoCellAnchor>
  <xdr:twoCellAnchor editAs="oneCell">
    <xdr:from>
      <xdr:col>0</xdr:col>
      <xdr:colOff>0</xdr:colOff>
      <xdr:row>77</xdr:row>
      <xdr:rowOff>0</xdr:rowOff>
    </xdr:from>
    <xdr:to>
      <xdr:col>8</xdr:col>
      <xdr:colOff>447675</xdr:colOff>
      <xdr:row>114</xdr:row>
      <xdr:rowOff>57150</xdr:rowOff>
    </xdr:to>
    <xdr:pic>
      <xdr:nvPicPr>
        <xdr:cNvPr id="64524" name="Picture 12"/>
        <xdr:cNvPicPr>
          <a:picLocks noChangeAspect="1" noChangeArrowheads="1"/>
        </xdr:cNvPicPr>
      </xdr:nvPicPr>
      <xdr:blipFill>
        <a:blip xmlns:r="http://schemas.openxmlformats.org/officeDocument/2006/relationships" r:embed="rId12" cstate="print"/>
        <a:srcRect/>
        <a:stretch>
          <a:fillRect/>
        </a:stretch>
      </xdr:blipFill>
      <xdr:spPr bwMode="auto">
        <a:xfrm>
          <a:off x="0" y="13201650"/>
          <a:ext cx="5934075" cy="6400800"/>
        </a:xfrm>
        <a:prstGeom prst="rect">
          <a:avLst/>
        </a:prstGeom>
        <a:noFill/>
        <a:ln w="1">
          <a:noFill/>
          <a:miter lim="800000"/>
          <a:headEnd/>
          <a:tailEnd type="none" w="med" len="med"/>
        </a:ln>
        <a:effectLst/>
      </xdr:spPr>
    </xdr:pic>
    <xdr:clientData/>
  </xdr:twoCellAnchor>
  <xdr:twoCellAnchor editAs="oneCell">
    <xdr:from>
      <xdr:col>8</xdr:col>
      <xdr:colOff>409575</xdr:colOff>
      <xdr:row>76</xdr:row>
      <xdr:rowOff>28575</xdr:rowOff>
    </xdr:from>
    <xdr:to>
      <xdr:col>17</xdr:col>
      <xdr:colOff>123825</xdr:colOff>
      <xdr:row>118</xdr:row>
      <xdr:rowOff>114300</xdr:rowOff>
    </xdr:to>
    <xdr:pic>
      <xdr:nvPicPr>
        <xdr:cNvPr id="64525" name="Picture 13"/>
        <xdr:cNvPicPr>
          <a:picLocks noChangeAspect="1" noChangeArrowheads="1"/>
        </xdr:cNvPicPr>
      </xdr:nvPicPr>
      <xdr:blipFill>
        <a:blip xmlns:r="http://schemas.openxmlformats.org/officeDocument/2006/relationships" r:embed="rId13" cstate="print"/>
        <a:srcRect/>
        <a:stretch>
          <a:fillRect/>
        </a:stretch>
      </xdr:blipFill>
      <xdr:spPr bwMode="auto">
        <a:xfrm>
          <a:off x="5895975" y="13058775"/>
          <a:ext cx="5886450" cy="7286625"/>
        </a:xfrm>
        <a:prstGeom prst="rect">
          <a:avLst/>
        </a:prstGeom>
        <a:noFill/>
        <a:ln w="1">
          <a:noFill/>
          <a:miter lim="800000"/>
          <a:headEnd/>
          <a:tailEnd type="none" w="med" len="med"/>
        </a:ln>
        <a:effectLst/>
      </xdr:spPr>
    </xdr:pic>
    <xdr:clientData/>
  </xdr:twoCellAnchor>
  <xdr:twoCellAnchor editAs="oneCell">
    <xdr:from>
      <xdr:col>0</xdr:col>
      <xdr:colOff>0</xdr:colOff>
      <xdr:row>115</xdr:row>
      <xdr:rowOff>0</xdr:rowOff>
    </xdr:from>
    <xdr:to>
      <xdr:col>8</xdr:col>
      <xdr:colOff>485775</xdr:colOff>
      <xdr:row>157</xdr:row>
      <xdr:rowOff>19050</xdr:rowOff>
    </xdr:to>
    <xdr:pic>
      <xdr:nvPicPr>
        <xdr:cNvPr id="64526" name="Picture 14"/>
        <xdr:cNvPicPr>
          <a:picLocks noChangeAspect="1" noChangeArrowheads="1"/>
        </xdr:cNvPicPr>
      </xdr:nvPicPr>
      <xdr:blipFill>
        <a:blip xmlns:r="http://schemas.openxmlformats.org/officeDocument/2006/relationships" r:embed="rId14" cstate="print"/>
        <a:srcRect/>
        <a:stretch>
          <a:fillRect/>
        </a:stretch>
      </xdr:blipFill>
      <xdr:spPr bwMode="auto">
        <a:xfrm>
          <a:off x="0" y="19716750"/>
          <a:ext cx="5972175" cy="7219950"/>
        </a:xfrm>
        <a:prstGeom prst="rect">
          <a:avLst/>
        </a:prstGeom>
        <a:noFill/>
        <a:ln w="1">
          <a:noFill/>
          <a:miter lim="800000"/>
          <a:headEnd/>
          <a:tailEnd type="none" w="med" len="med"/>
        </a:ln>
        <a:effectLst/>
      </xdr:spPr>
    </xdr:pic>
    <xdr:clientData/>
  </xdr:twoCellAnchor>
  <xdr:twoCellAnchor editAs="oneCell">
    <xdr:from>
      <xdr:col>12</xdr:col>
      <xdr:colOff>396221</xdr:colOff>
      <xdr:row>20</xdr:row>
      <xdr:rowOff>114299</xdr:rowOff>
    </xdr:from>
    <xdr:to>
      <xdr:col>16</xdr:col>
      <xdr:colOff>590550</xdr:colOff>
      <xdr:row>36</xdr:row>
      <xdr:rowOff>52075</xdr:rowOff>
    </xdr:to>
    <xdr:pic>
      <xdr:nvPicPr>
        <xdr:cNvPr id="64527" name="Picture 15"/>
        <xdr:cNvPicPr>
          <a:picLocks noChangeAspect="1" noChangeArrowheads="1"/>
        </xdr:cNvPicPr>
      </xdr:nvPicPr>
      <xdr:blipFill>
        <a:blip xmlns:r="http://schemas.openxmlformats.org/officeDocument/2006/relationships" r:embed="rId15" cstate="print"/>
        <a:srcRect/>
        <a:stretch>
          <a:fillRect/>
        </a:stretch>
      </xdr:blipFill>
      <xdr:spPr bwMode="auto">
        <a:xfrm>
          <a:off x="8625821" y="3543299"/>
          <a:ext cx="2937529" cy="2680976"/>
        </a:xfrm>
        <a:prstGeom prst="rect">
          <a:avLst/>
        </a:prstGeom>
        <a:noFill/>
        <a:ln w="1">
          <a:noFill/>
          <a:miter lim="800000"/>
          <a:headEnd/>
          <a:tailEnd type="none" w="med" len="med"/>
        </a:ln>
        <a:effectLst/>
      </xdr:spPr>
    </xdr:pic>
    <xdr:clientData/>
  </xdr:twoCellAnchor>
  <xdr:twoCellAnchor editAs="oneCell">
    <xdr:from>
      <xdr:col>8</xdr:col>
      <xdr:colOff>581025</xdr:colOff>
      <xdr:row>118</xdr:row>
      <xdr:rowOff>128086</xdr:rowOff>
    </xdr:from>
    <xdr:to>
      <xdr:col>18</xdr:col>
      <xdr:colOff>400050</xdr:colOff>
      <xdr:row>138</xdr:row>
      <xdr:rowOff>114300</xdr:rowOff>
    </xdr:to>
    <xdr:pic>
      <xdr:nvPicPr>
        <xdr:cNvPr id="17" name="Picture 2"/>
        <xdr:cNvPicPr>
          <a:picLocks noChangeAspect="1" noChangeArrowheads="1"/>
        </xdr:cNvPicPr>
      </xdr:nvPicPr>
      <xdr:blipFill>
        <a:blip xmlns:r="http://schemas.openxmlformats.org/officeDocument/2006/relationships" r:embed="rId16" cstate="print"/>
        <a:srcRect/>
        <a:stretch>
          <a:fillRect/>
        </a:stretch>
      </xdr:blipFill>
      <xdr:spPr bwMode="auto">
        <a:xfrm>
          <a:off x="6067425" y="20359186"/>
          <a:ext cx="6677025" cy="3415214"/>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1104</v>
      </c>
      <c r="B1" s="1698" t="s">
        <v>1166</v>
      </c>
    </row>
    <row r="2" spans="1:2" s="1701" customFormat="1" ht="15.75" thickTop="1">
      <c r="A2" s="1700" t="s">
        <v>1105</v>
      </c>
      <c r="B2" s="1686" t="str">
        <f>'预评函-封皮'!B9</f>
        <v>北京市预评估</v>
      </c>
    </row>
    <row r="3" spans="1:2" s="1701" customFormat="1">
      <c r="A3" s="1702" t="s">
        <v>1106</v>
      </c>
      <c r="B3" s="1687">
        <f>'预评函-封皮'!B12</f>
        <v>0</v>
      </c>
    </row>
    <row r="4" spans="1:2" s="1701" customFormat="1">
      <c r="A4" s="1702" t="s">
        <v>1107</v>
      </c>
      <c r="B4" s="1687" t="str">
        <f>'预评函-封皮'!B18</f>
        <v>注册房地产估价师（注册号:0）、注册房地产估价师（注册号:0)</v>
      </c>
    </row>
    <row r="5" spans="1:2" s="1699" customFormat="1" ht="15.75" thickBot="1">
      <c r="A5" s="1703" t="s">
        <v>1108</v>
      </c>
      <c r="B5" s="1688" t="str">
        <f>'预评函-封皮'!B21</f>
        <v>康正预评字号</v>
      </c>
    </row>
    <row r="6" spans="1:2" s="1701" customFormat="1" ht="15.75" thickTop="1">
      <c r="A6" s="1702" t="s">
        <v>1109</v>
      </c>
      <c r="B6" s="1686" t="str">
        <f>'预评函-1'!A4</f>
        <v>受您的委托，我公司对北京市房地产进行了预评估。</v>
      </c>
    </row>
    <row r="7" spans="1:2">
      <c r="A7" s="1702" t="s">
        <v>1110</v>
      </c>
      <c r="B7" s="1689" t="str">
        <f>'预评函-1'!A6</f>
        <v>估价对象为北京市房地产，为所有。根据《不动产权证书》[]，估价对象建筑面积为689.57平方米，（分摊）出让国有建设用地使用权面积为平方米。估价对象用途为。</v>
      </c>
    </row>
    <row r="8" spans="1:2">
      <c r="A8" s="1702" t="s">
        <v>1111</v>
      </c>
      <c r="B8" s="1689" t="str">
        <f>'预评函-1'!A8</f>
        <v>为估价委托人了解估价对象房地产市场价值提供参考依据。</v>
      </c>
    </row>
    <row r="9" spans="1:2">
      <c r="A9" s="1702" t="s">
        <v>1112</v>
      </c>
      <c r="B9" s="1689" t="str">
        <f>'预评函-1'!A10</f>
        <v>2017年8月14日</v>
      </c>
    </row>
    <row r="10" spans="1:2">
      <c r="A10" s="1702" t="s">
        <v>1113</v>
      </c>
      <c r="B10" s="1689" t="str">
        <f>'预评函-1'!A13</f>
        <v>本次估价的“房地产价值”是指在正常市场情况下，在价值时点2017年8月14日，估价对象规划用途为，假定未设立法定优先受偿款下的房地产市场价值。</v>
      </c>
    </row>
    <row r="11" spans="1:2">
      <c r="A11" s="1702" t="s">
        <v>1114</v>
      </c>
      <c r="B11" s="1689"/>
    </row>
    <row r="12" spans="1:2">
      <c r="A12" s="1702" t="s">
        <v>1115</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1116</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1117</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1118</v>
      </c>
      <c r="B15" s="1690" t="str">
        <f>'预评函-1'!A18</f>
        <v>本次评估采用的主估价方法为收益法和成本法。</v>
      </c>
    </row>
    <row r="16" spans="1:2" ht="15.75" thickTop="1">
      <c r="A16" s="1700" t="s">
        <v>1119</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1120</v>
      </c>
      <c r="B17" s="1689" t="str">
        <f>'预评函-2（1）'!B6</f>
        <v>北京市房地产</v>
      </c>
    </row>
    <row r="18" spans="1:2">
      <c r="A18" s="1702" t="s">
        <v>1121</v>
      </c>
      <c r="B18" s="1689">
        <f>'预评函-2（1）'!C6</f>
        <v>689.57</v>
      </c>
    </row>
    <row r="19" spans="1:2">
      <c r="A19" s="1702" t="s">
        <v>1122</v>
      </c>
      <c r="B19" s="1689">
        <f ca="1">'预评函-2（1）'!D7</f>
        <v>17243182</v>
      </c>
    </row>
    <row r="20" spans="1:2">
      <c r="A20" s="1702" t="s">
        <v>1160</v>
      </c>
      <c r="B20" s="1689" t="str">
        <f>'预评函-2（1）'!C7</f>
        <v>总价（元）</v>
      </c>
    </row>
    <row r="21" spans="1:2">
      <c r="A21" s="1702" t="s">
        <v>1123</v>
      </c>
      <c r="B21" s="1689">
        <f ca="1">'预评函-2（1）'!D9</f>
        <v>25006</v>
      </c>
    </row>
    <row r="22" spans="1:2">
      <c r="A22" s="1702" t="s">
        <v>1124</v>
      </c>
      <c r="B22" s="1689" t="str">
        <f ca="1">'预评函-2（1）'!D8</f>
        <v>壹仟柒佰贰拾肆万叁仟壹佰捌拾贰元整</v>
      </c>
    </row>
    <row r="23" spans="1:2">
      <c r="A23" s="1702" t="s">
        <v>1161</v>
      </c>
      <c r="B23" s="1689">
        <f>'预评函-2（1）'!D10</f>
        <v>0</v>
      </c>
    </row>
    <row r="24" spans="1:2">
      <c r="A24" s="1702" t="s">
        <v>1162</v>
      </c>
      <c r="B24" s="1689" t="str">
        <f>'预评函-2（1）'!C10</f>
        <v>总额（元）</v>
      </c>
    </row>
    <row r="25" spans="1:2">
      <c r="A25" s="1702" t="s">
        <v>1125</v>
      </c>
      <c r="B25" s="1689" t="str">
        <f>'预评函-2（1）'!D11</f>
        <v>零元整</v>
      </c>
    </row>
    <row r="26" spans="1:2">
      <c r="A26" s="1702" t="s">
        <v>1126</v>
      </c>
      <c r="B26" s="1689">
        <f>'预评函-2（1）'!D12</f>
        <v>0</v>
      </c>
    </row>
    <row r="27" spans="1:2">
      <c r="A27" s="1702" t="s">
        <v>1127</v>
      </c>
      <c r="B27" s="1689">
        <f>'预评函-2（1）'!D13</f>
        <v>0</v>
      </c>
    </row>
    <row r="28" spans="1:2">
      <c r="A28" s="1702" t="s">
        <v>1128</v>
      </c>
      <c r="B28" s="1689">
        <f>'预评函-2（1）'!D14</f>
        <v>0</v>
      </c>
    </row>
    <row r="29" spans="1:2">
      <c r="A29" s="1702" t="s">
        <v>1129</v>
      </c>
      <c r="B29" s="1689">
        <f ca="1">'预评函-2（1）'!D15</f>
        <v>17243182</v>
      </c>
    </row>
    <row r="30" spans="1:2">
      <c r="A30" s="1702" t="s">
        <v>1130</v>
      </c>
      <c r="B30" s="1689" t="str">
        <f ca="1">'预评函-2（1）'!D16</f>
        <v>壹仟柒佰贰拾肆万叁仟壹佰捌拾贰元整</v>
      </c>
    </row>
    <row r="31" spans="1:2">
      <c r="A31" s="1702" t="s">
        <v>1131</v>
      </c>
      <c r="B31" s="1689" t="str">
        <f>'预评函-2（1）'!D18</f>
        <v>——</v>
      </c>
    </row>
    <row r="32" spans="1:2">
      <c r="A32" s="1702" t="s">
        <v>1132</v>
      </c>
      <c r="B32" s="1689" t="e">
        <f>'预评函-2（1）'!D19</f>
        <v>#VALUE!</v>
      </c>
    </row>
    <row r="33" spans="1:2">
      <c r="A33" s="1702" t="s">
        <v>1133</v>
      </c>
      <c r="B33" s="1689" t="str">
        <f>'预评函-2（1）'!D21</f>
        <v>——</v>
      </c>
    </row>
    <row r="34" spans="1:2">
      <c r="A34" s="1702" t="s">
        <v>1134</v>
      </c>
      <c r="B34" s="1689" t="str">
        <f ca="1">'预评函-2（1）'!D23</f>
        <v>——</v>
      </c>
    </row>
    <row r="35" spans="1:2">
      <c r="A35" s="1702" t="s">
        <v>1135</v>
      </c>
      <c r="B35" s="1689" t="e">
        <f>'预评函-2（1）'!D22</f>
        <v>#VALUE!</v>
      </c>
    </row>
    <row r="36" spans="1:2">
      <c r="A36" s="1702" t="s">
        <v>1136</v>
      </c>
      <c r="B36" s="1689">
        <f>'预评函-2（2）'!C4</f>
        <v>0</v>
      </c>
    </row>
    <row r="37" spans="1:2">
      <c r="A37" s="1702" t="s">
        <v>1137</v>
      </c>
      <c r="B37" s="1689">
        <f ca="1">'预评函-2（2）'!D4</f>
        <v>14329084</v>
      </c>
    </row>
    <row r="38" spans="1:2">
      <c r="A38" s="1702" t="s">
        <v>1138</v>
      </c>
      <c r="B38" s="1689">
        <f ca="1">'预评函-2（2）'!E4</f>
        <v>20780</v>
      </c>
    </row>
    <row r="39" spans="1:2">
      <c r="A39" s="1702" t="s">
        <v>1139</v>
      </c>
      <c r="B39" s="1689" t="str">
        <f ca="1">'预评函-2（2）'!D5</f>
        <v>壹仟肆佰叁拾贰万玖仟零捌拾肆元整</v>
      </c>
    </row>
    <row r="40" spans="1:2">
      <c r="A40" s="1702" t="s">
        <v>1140</v>
      </c>
      <c r="B40" s="1689">
        <f ca="1">'预评函-2（2）'!F4</f>
        <v>2914098</v>
      </c>
    </row>
    <row r="41" spans="1:2">
      <c r="A41" s="1702" t="s">
        <v>1141</v>
      </c>
      <c r="B41" s="1689">
        <f ca="1">'预评函-2（2）'!G4</f>
        <v>4226</v>
      </c>
    </row>
    <row r="42" spans="1:2" s="1699" customFormat="1" ht="15.75" thickBot="1">
      <c r="A42" s="1703" t="s">
        <v>1142</v>
      </c>
      <c r="B42" s="1691" t="str">
        <f ca="1">'预评函-2（2）'!F5</f>
        <v>贰佰玖拾壹万肆仟零玖拾捌元整</v>
      </c>
    </row>
    <row r="43" spans="1:2" ht="15.75" thickTop="1">
      <c r="A43" s="1700" t="s">
        <v>1143</v>
      </c>
      <c r="B43" s="1692" t="str">
        <f>'预评函-3'!A13</f>
        <v>2.本次评估设定估价对象房地产权属无争议，未被查封或者以其他形式限制其房地产权利，未设定抵押权等他项权利，不涉及第三方权利义务。</v>
      </c>
    </row>
    <row r="44" spans="1:2">
      <c r="A44" s="1702" t="s">
        <v>1144</v>
      </c>
      <c r="B44" s="1689" t="str">
        <f>'预评函-3'!A14</f>
        <v>——</v>
      </c>
    </row>
    <row r="45" spans="1:2">
      <c r="A45" s="1702" t="s">
        <v>1145</v>
      </c>
      <c r="B45" s="1689" t="str">
        <f>'预评函-3'!A15</f>
        <v>——</v>
      </c>
    </row>
    <row r="46" spans="1:2">
      <c r="A46" s="1702" t="s">
        <v>1146</v>
      </c>
      <c r="B46" s="1689" t="str">
        <f>'预评函-3'!A16</f>
        <v>——</v>
      </c>
    </row>
    <row r="47" spans="1:2">
      <c r="A47" s="1702" t="s">
        <v>1147</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1158</v>
      </c>
      <c r="B48" s="1689" t="str">
        <f>'预评函-3'!A18</f>
        <v>——</v>
      </c>
    </row>
    <row r="49" spans="1:2">
      <c r="A49" s="1702" t="s">
        <v>1148</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1149</v>
      </c>
      <c r="B50" s="1689" t="str">
        <f>'预评函-3'!A20</f>
        <v>6.其他需特殊说明事项：无（注意修改序号）</v>
      </c>
    </row>
    <row r="51" spans="1:2" s="1699" customFormat="1" thickBot="1">
      <c r="A51" s="1703" t="s">
        <v>1150</v>
      </c>
      <c r="B51" s="1696">
        <f>'预评函-3'!D29</f>
        <v>42551</v>
      </c>
    </row>
    <row r="52" spans="1:2" ht="15.75" thickTop="1">
      <c r="A52" s="1700" t="s">
        <v>1151</v>
      </c>
      <c r="B52" s="1695" t="str">
        <f>'预评函-3'!A4</f>
        <v>注册房地产估价师</v>
      </c>
    </row>
    <row r="53" spans="1:2">
      <c r="A53" s="1702" t="s">
        <v>1152</v>
      </c>
      <c r="B53" s="1689">
        <f>'预评函-3'!B4</f>
        <v>0</v>
      </c>
    </row>
    <row r="54" spans="1:2">
      <c r="A54" s="1702" t="s">
        <v>1153</v>
      </c>
      <c r="B54" s="1693" t="str">
        <f>'预评函-3'!A5</f>
        <v>注册房地产估价师</v>
      </c>
    </row>
    <row r="55" spans="1:2" s="1699" customFormat="1" ht="15.75" thickBot="1">
      <c r="A55" s="1703" t="s">
        <v>1154</v>
      </c>
      <c r="B55" s="1691">
        <f>'预评函-3'!B5</f>
        <v>0</v>
      </c>
    </row>
    <row r="56" spans="1:2" ht="15.75" thickTop="1">
      <c r="A56" s="1705" t="s">
        <v>1163</v>
      </c>
      <c r="B56" s="1689" t="str">
        <f>'预评函-2（1）'!B15</f>
        <v>3.房地产抵押价值</v>
      </c>
    </row>
    <row r="57" spans="1:2">
      <c r="A57" s="1705" t="s">
        <v>1164</v>
      </c>
      <c r="B57" s="1689" t="str">
        <f>'预评函-2（1）'!B18</f>
        <v>——</v>
      </c>
    </row>
    <row r="58" spans="1:2" s="1699" customFormat="1" ht="15.75" thickBot="1">
      <c r="A58" s="1706" t="s">
        <v>1165</v>
      </c>
      <c r="B58" s="1690" t="str">
        <f>'预评函-2（1）'!B21</f>
        <v>——</v>
      </c>
    </row>
    <row r="59" spans="1:2" ht="15.75" thickTop="1">
      <c r="A59" s="1707" t="s">
        <v>1167</v>
      </c>
      <c r="B59" s="1687" t="str">
        <f>'预评函-2（1）'!B45</f>
        <v>单位：元、元/平方米（单位：人民币）</v>
      </c>
    </row>
    <row r="60" spans="1:2">
      <c r="A60" s="1705" t="s">
        <v>1168</v>
      </c>
      <c r="B60" s="1689" t="str">
        <f>'预评函-2（2）'!D2</f>
        <v>出让国有建设用地使用权价值</v>
      </c>
    </row>
    <row r="61" spans="1:2" s="1701" customFormat="1">
      <c r="A61" s="1705" t="s">
        <v>1169</v>
      </c>
      <c r="B61" s="1689" t="str">
        <f>'预评函-2（2）'!A14</f>
        <v>单位：平方米、元、元/平方米（币种：人民币）</v>
      </c>
    </row>
    <row r="62" spans="1:2" ht="28.5">
      <c r="A62" s="1705" t="s">
        <v>1253</v>
      </c>
      <c r="B62" s="1689">
        <f ca="1">'预评函-2（1）'!D38</f>
        <v>25006</v>
      </c>
    </row>
    <row r="63" spans="1:2" s="1701" customFormat="1" ht="28.5">
      <c r="A63" s="1705" t="s">
        <v>1254</v>
      </c>
      <c r="B63" s="1689" t="str">
        <f>'预评函-2（1）'!D41</f>
        <v>——</v>
      </c>
    </row>
    <row r="64" spans="1:2">
      <c r="A64" s="1705" t="s">
        <v>1177</v>
      </c>
      <c r="B64" s="1689" t="str">
        <f>'预评函-2（2）'!A6</f>
        <v>估价师所知悉的法定优先受偿款</v>
      </c>
    </row>
    <row r="65" spans="1:2">
      <c r="A65" s="1705" t="s">
        <v>1178</v>
      </c>
      <c r="B65" s="1689" t="str">
        <f>'预评函-2（2）'!A8</f>
        <v>房地产抵押价值</v>
      </c>
    </row>
    <row r="66" spans="1:2">
      <c r="A66" s="1705" t="s">
        <v>1179</v>
      </c>
      <c r="B66" s="1689" t="str">
        <f>'预评函-2（2）'!A10</f>
        <v/>
      </c>
    </row>
    <row r="67" spans="1:2" s="1699" customFormat="1" ht="15.75" thickBot="1">
      <c r="A67" s="1706" t="s">
        <v>1180</v>
      </c>
      <c r="B67" s="1690" t="str">
        <f>'预评函-2（2）'!A12</f>
        <v/>
      </c>
    </row>
    <row r="68" spans="1:2" ht="15.75" thickTop="1">
      <c r="A68" s="1708" t="s">
        <v>1181</v>
      </c>
      <c r="B68" s="1694" t="str">
        <f>'预评函-3'!A9</f>
        <v>XX</v>
      </c>
    </row>
    <row r="69" spans="1:2">
      <c r="A69" s="1702" t="s">
        <v>1252</v>
      </c>
    </row>
    <row r="70" spans="1:2">
      <c r="A70" s="1702"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19" sqref="F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1540</v>
      </c>
      <c r="B1" s="1995" t="str">
        <f>IF(B6="北京市","北京市",C6)&amp;IF(E12="房屋所有权证",B28,E28)&amp;D5&amp;"预评估"</f>
        <v>北京市预评估</v>
      </c>
      <c r="C1" s="1063"/>
      <c r="D1" s="1996"/>
      <c r="E1" s="1063"/>
      <c r="F1" s="1997" t="s">
        <v>1541</v>
      </c>
      <c r="G1" s="1682"/>
      <c r="I1" s="1020" t="str">
        <f>IF(B6="北京市","北京市",C6)&amp;IF(E12="房屋所有权证",B28,E28)&amp;"房地产"</f>
        <v>北京市房地产</v>
      </c>
    </row>
    <row r="2" spans="1:10" ht="13.5" thickTop="1">
      <c r="A2" s="1998" t="s">
        <v>1542</v>
      </c>
      <c r="B2" s="1088">
        <v>43558</v>
      </c>
      <c r="C2" s="1999" t="s">
        <v>1543</v>
      </c>
      <c r="D2" s="1088">
        <v>42961</v>
      </c>
      <c r="E2" s="1064"/>
      <c r="F2" s="1064"/>
      <c r="G2" s="1683"/>
      <c r="H2" s="1020"/>
    </row>
    <row r="3" spans="1:10" ht="13.5" thickBot="1">
      <c r="A3" s="2000" t="s">
        <v>1544</v>
      </c>
      <c r="B3" s="2001" t="s">
        <v>1545</v>
      </c>
      <c r="C3" s="1065">
        <f>SUMIF(注册房地产估价师,B3,估价师及机构信息!B3:B24)</f>
        <v>0</v>
      </c>
      <c r="D3" s="2001" t="s">
        <v>1545</v>
      </c>
      <c r="E3" s="1066">
        <f>SUMIF(注册房地产估价师,D3,估价师及机构信息!B3:B24)</f>
        <v>0</v>
      </c>
      <c r="F3" s="1067"/>
      <c r="G3" s="1684"/>
      <c r="H3" s="1020"/>
    </row>
    <row r="4" spans="1:10" ht="13.5" customHeight="1" thickTop="1">
      <c r="A4" s="2002" t="s">
        <v>1546</v>
      </c>
      <c r="B4" s="2003"/>
      <c r="C4" s="2004" t="s">
        <v>1547</v>
      </c>
      <c r="D4" s="2005"/>
      <c r="E4" s="1064"/>
      <c r="F4" s="1064"/>
      <c r="G4" s="1683"/>
    </row>
    <row r="5" spans="1:10">
      <c r="A5" s="2006" t="s">
        <v>1548</v>
      </c>
      <c r="B5" s="2007"/>
      <c r="C5" s="2008" t="s">
        <v>1549</v>
      </c>
      <c r="D5" s="2009"/>
      <c r="E5" s="2010" t="s">
        <v>1550</v>
      </c>
      <c r="F5" s="2011"/>
      <c r="G5" s="2012"/>
      <c r="I5" s="1020" t="str">
        <f>IF(C16="否","截至估价时点，估价对象抵押权未见登记。","截至价值时点，估价对象已设定抵押。")</f>
        <v>截至价值时点，估价对象已设定抵押。</v>
      </c>
    </row>
    <row r="6" spans="1:10">
      <c r="A6" s="2013" t="s">
        <v>1551</v>
      </c>
      <c r="B6" s="2014" t="s">
        <v>2822</v>
      </c>
      <c r="C6" s="2015"/>
      <c r="D6" s="2016" t="s">
        <v>1552</v>
      </c>
      <c r="E6" s="1022"/>
      <c r="F6" s="1021"/>
      <c r="G6" s="1074"/>
      <c r="I6" s="1070" t="str">
        <f>IF(COUNTIF(B5,"*上海银行*"),"上海银行","")</f>
        <v/>
      </c>
    </row>
    <row r="7" spans="1:10" ht="13.5" thickBot="1">
      <c r="A7" s="2000" t="s">
        <v>1553</v>
      </c>
      <c r="B7" s="2017" t="s">
        <v>2823</v>
      </c>
      <c r="C7" s="2018" t="str">
        <f>IF(B7="自然人","姓名","名称")</f>
        <v>名称</v>
      </c>
      <c r="D7" s="2019"/>
      <c r="E7" s="1068"/>
      <c r="F7" s="1067"/>
      <c r="G7" s="1684"/>
    </row>
    <row r="8" spans="1:10" ht="13.5" thickTop="1">
      <c r="A8" s="2800" t="s">
        <v>1554</v>
      </c>
      <c r="B8" s="2020" t="s">
        <v>1555</v>
      </c>
      <c r="C8" s="2812"/>
      <c r="D8" s="2813"/>
      <c r="E8" s="2021" t="s">
        <v>1556</v>
      </c>
      <c r="F8" s="2022" t="s">
        <v>1557</v>
      </c>
      <c r="G8" s="690">
        <f>C6</f>
        <v>0</v>
      </c>
    </row>
    <row r="9" spans="1:10">
      <c r="A9" s="2800"/>
      <c r="B9" s="344" t="s">
        <v>1558</v>
      </c>
      <c r="C9" s="2007"/>
      <c r="D9" s="2023"/>
      <c r="E9" s="1010" t="s">
        <v>1559</v>
      </c>
      <c r="F9" s="996" t="s">
        <v>399</v>
      </c>
      <c r="G9" s="1012"/>
    </row>
    <row r="10" spans="1:10" ht="13.5" thickBot="1">
      <c r="A10" s="2800"/>
      <c r="B10" s="344" t="s">
        <v>1560</v>
      </c>
      <c r="C10" s="2814"/>
      <c r="D10" s="2815"/>
      <c r="E10" s="2024" t="s">
        <v>1561</v>
      </c>
      <c r="F10" s="1013" t="s">
        <v>247</v>
      </c>
      <c r="G10" s="1014"/>
    </row>
    <row r="11" spans="1:10" ht="13.5" thickBot="1">
      <c r="A11" s="2800"/>
      <c r="B11" s="2025" t="s">
        <v>1562</v>
      </c>
      <c r="C11" s="2816"/>
      <c r="D11" s="2817"/>
      <c r="E11" s="1022"/>
      <c r="F11" s="1021"/>
      <c r="G11" s="1074"/>
    </row>
    <row r="12" spans="1:10" ht="24.75" thickBot="1">
      <c r="A12" s="2803" t="s">
        <v>1563</v>
      </c>
      <c r="B12" s="2026" t="s">
        <v>1564</v>
      </c>
      <c r="C12" s="1016">
        <v>689.57</v>
      </c>
      <c r="D12" s="2026" t="s">
        <v>1565</v>
      </c>
      <c r="E12" s="2027" t="s">
        <v>1566</v>
      </c>
      <c r="F12" s="2028" t="s">
        <v>1567</v>
      </c>
      <c r="G12" s="1074"/>
    </row>
    <row r="13" spans="1:10" ht="21" customHeight="1" thickBot="1">
      <c r="A13" s="2804"/>
      <c r="B13" s="2029" t="s">
        <v>1568</v>
      </c>
      <c r="C13" s="1017"/>
      <c r="D13" s="2029" t="s">
        <v>1569</v>
      </c>
      <c r="E13" s="2030" t="s">
        <v>1566</v>
      </c>
      <c r="F13" s="1021"/>
      <c r="G13" s="1074"/>
      <c r="I13" s="2790" t="s">
        <v>1570</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1571</v>
      </c>
      <c r="C14" s="2034"/>
      <c r="D14" s="1021"/>
      <c r="E14" s="1021"/>
      <c r="F14" s="1021"/>
      <c r="G14" s="1074"/>
      <c r="I14" s="279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1572</v>
      </c>
      <c r="C15" s="1069">
        <v>2.5</v>
      </c>
      <c r="D15" s="1067"/>
      <c r="E15" s="1067"/>
      <c r="F15" s="1067"/>
      <c r="G15" s="1684"/>
      <c r="I15" s="279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1573</v>
      </c>
      <c r="B16" s="2037" t="s">
        <v>1574</v>
      </c>
      <c r="C16" s="2038"/>
      <c r="D16" s="2039" t="s">
        <v>1575</v>
      </c>
      <c r="E16" s="2040"/>
      <c r="F16" s="2041" t="str">
        <f>IF(AND(C16="是",E16="否"),"是否提供他项权证或相关说明","")</f>
        <v/>
      </c>
      <c r="G16" s="2040"/>
      <c r="I16" s="1071"/>
      <c r="J16" s="1020"/>
    </row>
    <row r="17" spans="1:15" ht="13.5" customHeight="1">
      <c r="A17" s="2042" t="s">
        <v>1576</v>
      </c>
      <c r="B17" s="2818" t="s">
        <v>1577</v>
      </c>
      <c r="C17" s="2819"/>
      <c r="D17" s="2820" t="s">
        <v>1578</v>
      </c>
      <c r="E17" s="2821"/>
      <c r="F17" s="2043" t="s">
        <v>1579</v>
      </c>
      <c r="G17" s="2044"/>
      <c r="J17" s="1020"/>
    </row>
    <row r="18" spans="1:15" ht="24">
      <c r="A18" s="2042"/>
      <c r="B18" s="2045" t="s">
        <v>1580</v>
      </c>
      <c r="C18" s="2012" t="s">
        <v>1581</v>
      </c>
      <c r="D18" s="2046" t="s">
        <v>1582</v>
      </c>
      <c r="E18" s="2047" t="s">
        <v>1583</v>
      </c>
      <c r="F18" s="2048"/>
      <c r="G18" s="1868"/>
      <c r="H18" s="1020"/>
      <c r="J18" s="1020"/>
    </row>
    <row r="19" spans="1:15" ht="21.75" customHeight="1" thickBot="1">
      <c r="A19" s="2042"/>
      <c r="B19" s="2049"/>
      <c r="C19" s="2030"/>
      <c r="D19" s="2050"/>
      <c r="E19" s="1021"/>
      <c r="F19" s="1021"/>
      <c r="G19" s="1868"/>
    </row>
    <row r="20" spans="1:15">
      <c r="A20" s="2051" t="s">
        <v>1584</v>
      </c>
      <c r="B20" s="2052" t="s">
        <v>1585</v>
      </c>
      <c r="C20" s="2053"/>
      <c r="D20" s="2054" t="s">
        <v>1585</v>
      </c>
      <c r="E20" s="2053"/>
      <c r="F20" s="1021"/>
      <c r="G20" s="1868"/>
    </row>
    <row r="21" spans="1:15">
      <c r="A21" s="2055"/>
      <c r="B21" s="2056" t="s">
        <v>1586</v>
      </c>
      <c r="C21" s="2057"/>
      <c r="D21" s="2042" t="s">
        <v>1586</v>
      </c>
      <c r="E21" s="2058"/>
      <c r="F21" s="1021"/>
      <c r="G21" s="1868"/>
    </row>
    <row r="22" spans="1:15">
      <c r="A22" s="2055"/>
      <c r="B22" s="2059" t="s">
        <v>1587</v>
      </c>
      <c r="C22" s="2060"/>
      <c r="D22" s="2059" t="s">
        <v>1587</v>
      </c>
      <c r="E22" s="2058"/>
      <c r="F22" s="1021"/>
      <c r="G22" s="1868"/>
    </row>
    <row r="23" spans="1:15" s="1866" customFormat="1" ht="21" thickBot="1">
      <c r="A23" s="2061"/>
      <c r="B23" s="2062" t="s">
        <v>1588</v>
      </c>
      <c r="C23" s="2063"/>
      <c r="D23" s="2062" t="s">
        <v>1589</v>
      </c>
      <c r="E23" s="2064"/>
      <c r="F23" s="1021"/>
      <c r="G23" s="1868"/>
      <c r="H23" s="2065"/>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6" t="s">
        <v>1591</v>
      </c>
      <c r="C25" s="995"/>
      <c r="D25" s="1015"/>
      <c r="E25" s="1018" t="s">
        <v>1592</v>
      </c>
      <c r="F25" s="995"/>
      <c r="G25" s="2067" t="s">
        <v>1593</v>
      </c>
      <c r="L25" s="1082"/>
      <c r="M25" s="1082"/>
      <c r="O25" s="1083"/>
    </row>
    <row r="26" spans="1:15" s="1081" customFormat="1" ht="13.5" thickBot="1">
      <c r="A26" s="995"/>
      <c r="B26" s="1089"/>
      <c r="C26" s="995"/>
      <c r="D26" s="1015"/>
      <c r="E26" s="1089"/>
      <c r="F26" s="995"/>
      <c r="G26" s="1685"/>
      <c r="L26" s="1082"/>
      <c r="M26" s="1082"/>
      <c r="O26" s="1083"/>
    </row>
    <row r="27" spans="1:15">
      <c r="A27" s="1007" t="s">
        <v>1594</v>
      </c>
      <c r="B27" s="1004"/>
      <c r="C27" s="2806" t="s">
        <v>1594</v>
      </c>
      <c r="D27" s="2807"/>
      <c r="E27" s="1004"/>
      <c r="F27" s="1011" t="s">
        <v>1594</v>
      </c>
      <c r="G27" s="1004"/>
      <c r="I27" s="1071"/>
      <c r="K27" s="1071"/>
    </row>
    <row r="28" spans="1:15">
      <c r="A28" s="1008" t="s">
        <v>1595</v>
      </c>
      <c r="B28" s="978"/>
      <c r="C28" s="2808" t="s">
        <v>1596</v>
      </c>
      <c r="D28" s="2809"/>
      <c r="E28" s="978"/>
      <c r="F28" s="1894" t="s">
        <v>1596</v>
      </c>
      <c r="G28" s="978"/>
      <c r="I28" s="1071"/>
      <c r="K28" s="1071"/>
    </row>
    <row r="29" spans="1:15">
      <c r="A29" s="1008" t="s">
        <v>1597</v>
      </c>
      <c r="B29" s="978"/>
      <c r="C29" s="2808" t="s">
        <v>1597</v>
      </c>
      <c r="D29" s="2809"/>
      <c r="E29" s="978"/>
      <c r="F29" s="1894" t="s">
        <v>1598</v>
      </c>
      <c r="G29" s="978"/>
      <c r="I29" s="1071"/>
      <c r="K29" s="1071"/>
    </row>
    <row r="30" spans="1:15">
      <c r="A30" s="1008" t="s">
        <v>1599</v>
      </c>
      <c r="B30" s="978"/>
      <c r="C30" s="2797" t="s">
        <v>1600</v>
      </c>
      <c r="D30" s="2068"/>
      <c r="E30" s="1023" t="str">
        <f>E31&amp;" "&amp;E32&amp;" "&amp;E33&amp;" "&amp;E34</f>
        <v xml:space="preserve">   </v>
      </c>
      <c r="F30" s="1894" t="s">
        <v>1601</v>
      </c>
      <c r="G30" s="978"/>
    </row>
    <row r="31" spans="1:15">
      <c r="A31" s="1008" t="s">
        <v>1602</v>
      </c>
      <c r="B31" s="978"/>
      <c r="C31" s="2798"/>
      <c r="D31" s="1893" t="s">
        <v>1603</v>
      </c>
      <c r="E31" s="978"/>
      <c r="F31" s="1894" t="s">
        <v>1604</v>
      </c>
      <c r="G31" s="978"/>
    </row>
    <row r="32" spans="1:15" ht="24.75" thickBot="1">
      <c r="A32" s="1009" t="s">
        <v>1605</v>
      </c>
      <c r="B32" s="1005"/>
      <c r="C32" s="2798"/>
      <c r="D32" s="1893" t="s">
        <v>1606</v>
      </c>
      <c r="E32" s="978"/>
      <c r="F32" s="1894" t="s">
        <v>1607</v>
      </c>
      <c r="G32" s="978"/>
    </row>
    <row r="33" spans="1:7">
      <c r="A33" s="1007" t="s">
        <v>1608</v>
      </c>
      <c r="B33" s="1004"/>
      <c r="C33" s="2798"/>
      <c r="D33" s="1893" t="s">
        <v>1609</v>
      </c>
      <c r="E33" s="978"/>
      <c r="F33" s="1894" t="s">
        <v>1610</v>
      </c>
      <c r="G33" s="978"/>
    </row>
    <row r="34" spans="1:7" ht="13.5" thickBot="1">
      <c r="A34" s="1008" t="s">
        <v>1611</v>
      </c>
      <c r="B34" s="978"/>
      <c r="C34" s="2799"/>
      <c r="D34" s="1893" t="s">
        <v>1612</v>
      </c>
      <c r="E34" s="978"/>
      <c r="F34" s="1895" t="s">
        <v>1613</v>
      </c>
      <c r="G34" s="1006"/>
    </row>
    <row r="35" spans="1:7">
      <c r="A35" s="1008" t="s">
        <v>1564</v>
      </c>
      <c r="B35" s="978"/>
      <c r="C35" s="2808" t="s">
        <v>1614</v>
      </c>
      <c r="D35" s="2809"/>
      <c r="E35" s="978"/>
      <c r="F35" s="1019" t="s">
        <v>1615</v>
      </c>
      <c r="G35" s="1004"/>
    </row>
    <row r="36" spans="1:7" ht="13.5" thickBot="1">
      <c r="A36" s="1008" t="s">
        <v>1616</v>
      </c>
      <c r="B36" s="978"/>
      <c r="C36" s="2810" t="s">
        <v>1617</v>
      </c>
      <c r="D36" s="2811"/>
      <c r="E36" s="1005"/>
      <c r="F36" s="1891" t="s">
        <v>1618</v>
      </c>
      <c r="G36" s="978"/>
    </row>
    <row r="37" spans="1:7" ht="13.5" thickBot="1">
      <c r="A37" s="1008" t="s">
        <v>1619</v>
      </c>
      <c r="B37" s="978"/>
      <c r="C37" s="2795" t="s">
        <v>1620</v>
      </c>
      <c r="D37" s="2069" t="s">
        <v>1604</v>
      </c>
      <c r="E37" s="1004"/>
      <c r="F37" s="1895" t="s">
        <v>1621</v>
      </c>
      <c r="G37" s="1005"/>
    </row>
    <row r="38" spans="1:7">
      <c r="A38" s="1008" t="s">
        <v>1622</v>
      </c>
      <c r="B38" s="978"/>
      <c r="C38" s="2801"/>
      <c r="D38" s="1893" t="s">
        <v>1611</v>
      </c>
      <c r="E38" s="978"/>
      <c r="F38" s="1011" t="s">
        <v>1623</v>
      </c>
      <c r="G38" s="1004"/>
    </row>
    <row r="39" spans="1:7">
      <c r="A39" s="1008" t="s">
        <v>1624</v>
      </c>
      <c r="B39" s="978"/>
      <c r="C39" s="2801" t="s">
        <v>1625</v>
      </c>
      <c r="D39" s="1893" t="s">
        <v>1564</v>
      </c>
      <c r="E39" s="978"/>
      <c r="F39" s="1894" t="s">
        <v>1626</v>
      </c>
      <c r="G39" s="978"/>
    </row>
    <row r="40" spans="1:7" ht="24.75" customHeight="1" thickBot="1">
      <c r="A40" s="1009" t="s">
        <v>1627</v>
      </c>
      <c r="B40" s="1005"/>
      <c r="C40" s="2802"/>
      <c r="D40" s="1896" t="s">
        <v>1568</v>
      </c>
      <c r="E40" s="1005"/>
      <c r="F40" s="1895" t="s">
        <v>1628</v>
      </c>
      <c r="G40" s="1005"/>
    </row>
    <row r="41" spans="1:7">
      <c r="A41" s="1010" t="s">
        <v>1629</v>
      </c>
      <c r="B41" s="1060"/>
      <c r="C41" s="2791" t="s">
        <v>1629</v>
      </c>
      <c r="D41" s="2792"/>
      <c r="E41" s="1060"/>
      <c r="F41" s="1011" t="s">
        <v>1630</v>
      </c>
      <c r="G41" s="1060"/>
    </row>
    <row r="42" spans="1:7">
      <c r="A42" s="1057" t="s">
        <v>1631</v>
      </c>
      <c r="B42" s="1061"/>
      <c r="C42" s="2070"/>
      <c r="D42" s="2071"/>
      <c r="E42" s="1061"/>
      <c r="F42" s="1059"/>
      <c r="G42" s="1061"/>
    </row>
    <row r="43" spans="1:7">
      <c r="A43" s="94" t="s">
        <v>1585</v>
      </c>
      <c r="B43" s="1058"/>
      <c r="C43" s="2070"/>
      <c r="D43" s="2072" t="s">
        <v>1585</v>
      </c>
      <c r="E43" s="1058"/>
      <c r="F43" s="94" t="s">
        <v>1585</v>
      </c>
      <c r="G43" s="1058"/>
    </row>
    <row r="44" spans="1:7">
      <c r="A44" s="94" t="s">
        <v>1586</v>
      </c>
      <c r="B44" s="1058"/>
      <c r="C44" s="2070"/>
      <c r="D44" s="2056" t="s">
        <v>1586</v>
      </c>
      <c r="E44" s="1058"/>
      <c r="F44" s="94" t="s">
        <v>1586</v>
      </c>
      <c r="G44" s="1058"/>
    </row>
    <row r="45" spans="1:7">
      <c r="A45" s="94" t="s">
        <v>1587</v>
      </c>
      <c r="B45" s="1058"/>
      <c r="C45" s="2070"/>
      <c r="D45" s="2056" t="s">
        <v>1587</v>
      </c>
      <c r="E45" s="1058"/>
      <c r="F45" s="94" t="s">
        <v>1587</v>
      </c>
      <c r="G45" s="1058"/>
    </row>
    <row r="46" spans="1:7">
      <c r="A46" s="94" t="s">
        <v>1588</v>
      </c>
      <c r="B46" s="1058"/>
      <c r="C46" s="2070"/>
      <c r="D46" s="2056" t="s">
        <v>1588</v>
      </c>
      <c r="E46" s="1058"/>
      <c r="F46" s="94" t="s">
        <v>1588</v>
      </c>
      <c r="G46" s="1058"/>
    </row>
    <row r="47" spans="1:7">
      <c r="A47" s="1057"/>
      <c r="B47" s="1058"/>
      <c r="C47" s="2070"/>
      <c r="D47" s="2071"/>
      <c r="E47" s="1058"/>
      <c r="F47" s="1059"/>
      <c r="G47" s="1058"/>
    </row>
    <row r="48" spans="1:7" ht="13.5" thickBot="1">
      <c r="A48" s="1009" t="s">
        <v>1632</v>
      </c>
      <c r="B48" s="1005"/>
      <c r="C48" s="2793" t="s">
        <v>1632</v>
      </c>
      <c r="D48" s="2794"/>
      <c r="E48" s="1055"/>
      <c r="F48" s="1895" t="s">
        <v>1633</v>
      </c>
      <c r="G48" s="1005"/>
    </row>
    <row r="49" spans="1:15">
      <c r="A49" s="1008" t="s">
        <v>1634</v>
      </c>
      <c r="B49" s="1054"/>
      <c r="C49" s="2795" t="s">
        <v>1635</v>
      </c>
      <c r="D49" s="2796"/>
      <c r="E49" s="1056"/>
      <c r="F49" s="1084"/>
      <c r="G49" s="1085"/>
    </row>
    <row r="50" spans="1:15" ht="13.5" thickBot="1">
      <c r="A50" s="1008" t="s">
        <v>1636</v>
      </c>
      <c r="B50" s="1054"/>
      <c r="C50" s="2802" t="s">
        <v>1637</v>
      </c>
      <c r="D50" s="2805"/>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7" customWidth="1"/>
    <col min="2" max="2" width="16.75" style="2074" customWidth="1"/>
    <col min="3" max="3" width="10.75" style="2074"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1639</v>
      </c>
      <c r="B1" s="1237"/>
      <c r="C1" s="1237"/>
      <c r="D1" s="1853"/>
      <c r="E1" s="1853"/>
      <c r="AE1" s="1237"/>
      <c r="AF1" s="1237"/>
      <c r="AG1" s="1237"/>
      <c r="AH1" s="1237"/>
      <c r="AI1" s="1237"/>
      <c r="AJ1" s="1237"/>
      <c r="AK1" s="1237"/>
      <c r="AL1" s="1237"/>
      <c r="AM1" s="1237"/>
      <c r="AN1" s="1237"/>
      <c r="AO1" s="1237"/>
    </row>
    <row r="2" spans="1:41" s="2078" customFormat="1" ht="15.75" thickBot="1">
      <c r="A2" s="2075" t="s">
        <v>1640</v>
      </c>
      <c r="B2" s="1209">
        <f>项目基本情况!D2</f>
        <v>42961</v>
      </c>
      <c r="C2" s="1855"/>
      <c r="D2" s="2824" t="s">
        <v>1641</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1642</v>
      </c>
      <c r="B3" s="2079" t="s">
        <v>2824</v>
      </c>
      <c r="C3" s="1855"/>
      <c r="D3" s="2825"/>
      <c r="E3" s="1188" t="s">
        <v>1643</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1644</v>
      </c>
      <c r="B4" s="2079" t="s">
        <v>2825</v>
      </c>
      <c r="C4" s="1855"/>
      <c r="D4" s="282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1645</v>
      </c>
      <c r="B5" s="1318">
        <f>项目基本情况!C12</f>
        <v>689.57</v>
      </c>
      <c r="C5" s="1855"/>
      <c r="D5" s="2081" t="s">
        <v>1646</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1647</v>
      </c>
      <c r="B6" s="1319">
        <f>项目基本情况!C13</f>
        <v>0</v>
      </c>
      <c r="C6" s="1855"/>
      <c r="D6" s="2081" t="s">
        <v>1648</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1649</v>
      </c>
      <c r="B10" s="2086" t="s">
        <v>2826</v>
      </c>
      <c r="C10" s="1855"/>
      <c r="D10" s="2075" t="s">
        <v>1650</v>
      </c>
      <c r="E10" s="2087"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1653</v>
      </c>
      <c r="B11" s="990">
        <v>40</v>
      </c>
      <c r="C11" s="1855"/>
      <c r="D11" s="2089" t="s">
        <v>1654</v>
      </c>
      <c r="E11" s="34">
        <v>160</v>
      </c>
      <c r="F11" s="1854" t="s">
        <v>1655</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1656</v>
      </c>
      <c r="B12" s="2736">
        <v>52829</v>
      </c>
      <c r="C12" s="1855"/>
      <c r="D12" s="2093"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4" t="s">
        <v>1658</v>
      </c>
      <c r="B13" s="991">
        <f>IF(B12="",B11-(YEAR($B$2)-B26+B23),ROUNDDOWN(MIN((B12-$B$2)/365,B11),2))</f>
        <v>27.03</v>
      </c>
      <c r="C13" s="2095"/>
      <c r="D13" s="2096" t="s">
        <v>1659</v>
      </c>
      <c r="E13" s="39">
        <f>成本法!C10</f>
        <v>137914</v>
      </c>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1661</v>
      </c>
      <c r="B14" s="992">
        <f>IF(ISERROR(ROUND(POWER(1+B15,B11-B13)*(POWER(1+B15,B13)-1)/(POWER(1+B15,B11)-1),3)),0,ROUND(POWER(1+B15,B11-B13)*(POWER(1+B15,B13)-1)/(POWER(1+B15,B11)-1),3))</f>
        <v>0.82599999999999996</v>
      </c>
      <c r="C14" s="1855"/>
      <c r="D14" s="2097" t="s">
        <v>1662</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1663</v>
      </c>
      <c r="B15" s="30">
        <v>0.04</v>
      </c>
      <c r="C15" s="1855"/>
      <c r="D15" s="2093" t="s">
        <v>1664</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1665</v>
      </c>
      <c r="B16" s="30">
        <v>0.05</v>
      </c>
      <c r="C16" s="1855"/>
      <c r="D16" s="2098" t="s">
        <v>1666</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099" t="s">
        <v>1667</v>
      </c>
      <c r="B17" s="997">
        <v>0.08</v>
      </c>
      <c r="C17" s="1855"/>
      <c r="D17" s="2085" t="s">
        <v>1668</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0" t="str">
        <f>IF(B25=0,"建安总额","在建建安")</f>
        <v>建安总额</v>
      </c>
      <c r="E18" s="986">
        <f>ROUND(B5*E17*IF(B25=0,1,E20),0)</f>
        <v>2068710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1669</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1" t="s">
        <v>1670</v>
      </c>
      <c r="B20" s="31">
        <v>0</v>
      </c>
      <c r="C20" s="1855"/>
      <c r="D20" s="2102"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3" t="s">
        <v>1671</v>
      </c>
      <c r="B21" s="32">
        <v>1.5</v>
      </c>
      <c r="C21" s="1855"/>
      <c r="D21" s="2093" t="s">
        <v>1672</v>
      </c>
      <c r="E21" s="711">
        <v>0.03</v>
      </c>
      <c r="F21" s="1852" t="s">
        <v>1673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4" t="s">
        <v>1674</v>
      </c>
      <c r="B22" s="1454">
        <v>1.5</v>
      </c>
      <c r="C22" s="1855"/>
      <c r="D22" s="2093" t="s">
        <v>1675</v>
      </c>
      <c r="E22" s="40">
        <v>0.05</v>
      </c>
      <c r="F22" s="1852" t="s">
        <v>1676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5" t="s">
        <v>1677</v>
      </c>
      <c r="B23" s="33">
        <f>B20+B21</f>
        <v>1.5</v>
      </c>
      <c r="C23" s="1855"/>
      <c r="D23" s="2093"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6" t="s">
        <v>1680</v>
      </c>
      <c r="B24" s="1742">
        <f>B20+B22</f>
        <v>1.5</v>
      </c>
      <c r="C24" s="1855"/>
      <c r="D24" s="2098"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1683</v>
      </c>
      <c r="B25" s="1453">
        <f>B21-B22</f>
        <v>0</v>
      </c>
      <c r="C25" s="1237"/>
      <c r="D25" s="2089" t="s">
        <v>1684</v>
      </c>
      <c r="E25" s="711">
        <v>0.03</v>
      </c>
      <c r="F25" s="1852" t="s">
        <v>1685</v>
      </c>
      <c r="I25" s="1853"/>
      <c r="AE25" s="1237"/>
      <c r="AF25" s="1237"/>
      <c r="AG25" s="1237"/>
      <c r="AH25" s="1237"/>
      <c r="AI25" s="1237"/>
      <c r="AJ25" s="1237"/>
      <c r="AK25" s="1237"/>
      <c r="AL25" s="1237"/>
      <c r="AM25" s="1237"/>
      <c r="AN25" s="1237"/>
      <c r="AO25" s="1237"/>
    </row>
    <row r="26" spans="1:41" ht="15.75" thickBot="1">
      <c r="A26" s="2107" t="s">
        <v>1686</v>
      </c>
      <c r="B26" s="1094">
        <v>2005</v>
      </c>
      <c r="C26" s="1855"/>
      <c r="D26" s="2093" t="s">
        <v>1687</v>
      </c>
      <c r="E26" s="40">
        <v>0.03</v>
      </c>
      <c r="F26" s="1852" t="s">
        <v>1685</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1688</v>
      </c>
      <c r="E27" s="352">
        <f ca="1">存贷款利率!G1</f>
        <v>4.7500000000000001E-2</v>
      </c>
      <c r="F27" s="1852" t="s">
        <v>1689</v>
      </c>
      <c r="G27" s="2077"/>
      <c r="H27" s="2077"/>
      <c r="K27" s="1855"/>
      <c r="N27" s="1855"/>
      <c r="AE27" s="1237"/>
      <c r="AF27" s="1237"/>
      <c r="AG27" s="1237"/>
      <c r="AH27" s="1237"/>
      <c r="AI27" s="1237"/>
      <c r="AJ27" s="1237"/>
      <c r="AK27" s="1237"/>
      <c r="AL27" s="1237"/>
      <c r="AM27" s="1237"/>
      <c r="AN27" s="1237"/>
      <c r="AO27" s="1237"/>
    </row>
    <row r="28" spans="1:41" ht="15" thickBot="1">
      <c r="A28" s="2108" t="s">
        <v>1690</v>
      </c>
      <c r="B28" s="2109" t="s">
        <v>2827</v>
      </c>
      <c r="C28" s="1237"/>
      <c r="D28" s="2110" t="s">
        <v>1691</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5</v>
      </c>
      <c r="C29" s="1237"/>
      <c r="D29" s="2097" t="s">
        <v>1692</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1693</v>
      </c>
      <c r="B30" s="1419">
        <f ca="1">存贷款利率!I1</f>
        <v>1.4999999999999999E-2</v>
      </c>
      <c r="C30" s="1237"/>
      <c r="D30" s="2111" t="s">
        <v>1694</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1695</v>
      </c>
      <c r="B31" s="30">
        <v>0.02</v>
      </c>
      <c r="C31" s="1237"/>
      <c r="D31" s="2111" t="s">
        <v>1696</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1697</v>
      </c>
      <c r="B32" s="30">
        <v>0.1</v>
      </c>
      <c r="C32" s="1237"/>
      <c r="D32" s="2112" t="s">
        <v>1698</v>
      </c>
      <c r="E32" s="43">
        <v>7.0000000000000007E-2</v>
      </c>
      <c r="F32" s="1847" t="s">
        <v>1699</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1700</v>
      </c>
      <c r="B33" s="1380" t="b">
        <f>收益法!J54</f>
        <v>0</v>
      </c>
      <c r="C33" s="1237"/>
      <c r="D33" s="2112" t="s">
        <v>1701</v>
      </c>
      <c r="E33" s="41">
        <v>0.03</v>
      </c>
      <c r="F33" s="1846" t="s">
        <v>1702</v>
      </c>
      <c r="G33" s="2077"/>
      <c r="H33" s="2077"/>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1703</v>
      </c>
      <c r="E34" s="41">
        <v>0.02</v>
      </c>
      <c r="F34" s="1846" t="s">
        <v>1704</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1705</v>
      </c>
      <c r="B35" s="994"/>
      <c r="C35" s="1237"/>
      <c r="D35" s="2116" t="s">
        <v>1706</v>
      </c>
      <c r="E35" s="44">
        <v>0</v>
      </c>
      <c r="F35" s="1854" t="s">
        <v>1707</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1708</v>
      </c>
      <c r="E36" s="45">
        <v>0.03</v>
      </c>
      <c r="F36" s="1850" t="s">
        <v>1709</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2" t="str">
        <f>IF(B28="租赁期内按合同租金","年租金增长率","——")</f>
        <v>——</v>
      </c>
      <c r="B37" s="30"/>
      <c r="C37" s="1237"/>
      <c r="D37" s="2098" t="s">
        <v>1710</v>
      </c>
      <c r="E37" s="41">
        <v>5.0000000000000001E-4</v>
      </c>
      <c r="F37" s="1850" t="s">
        <v>1711</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2" t="str">
        <f>IF(B28="租赁期内按合同租金","空置率","——")</f>
        <v>——</v>
      </c>
      <c r="B38" s="30"/>
      <c r="C38" s="1237"/>
      <c r="D38" s="2119" t="s">
        <v>1712</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2" t="str">
        <f>IF(B28="租赁期内按合同租金","成新率","——")</f>
        <v>——</v>
      </c>
      <c r="B39" s="30"/>
      <c r="C39" s="1237"/>
      <c r="D39" s="2096" t="s">
        <v>1713</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1714</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1715</v>
      </c>
      <c r="B41" s="1000">
        <f>项目基本情况!C12</f>
        <v>689.57</v>
      </c>
      <c r="C41" s="1237"/>
      <c r="D41" s="2093" t="s">
        <v>1716</v>
      </c>
      <c r="E41" s="2121" t="s">
        <v>399</v>
      </c>
      <c r="F41" s="1848" t="s">
        <v>1717</v>
      </c>
      <c r="G41" s="2122" t="s">
        <v>1718</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1719</v>
      </c>
      <c r="B42" s="993">
        <v>365</v>
      </c>
      <c r="C42" s="1237"/>
      <c r="D42" s="2123" t="s">
        <v>1720</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1721</v>
      </c>
      <c r="B43" s="29"/>
      <c r="C43" s="1237"/>
      <c r="D43" s="2123" t="s">
        <v>1722</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1723</v>
      </c>
      <c r="B44" s="1001">
        <v>1.4999999999999999E-2</v>
      </c>
      <c r="C44" s="1237" t="s">
        <v>967</v>
      </c>
      <c r="D44" s="2123" t="s">
        <v>1724</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1725</v>
      </c>
      <c r="B45" s="1002">
        <v>1.5E-3</v>
      </c>
      <c r="C45" s="1237" t="s">
        <v>968</v>
      </c>
      <c r="D45" s="2123"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1727</v>
      </c>
      <c r="B46" s="1003">
        <v>0.01</v>
      </c>
      <c r="C46" s="1237" t="s">
        <v>969</v>
      </c>
      <c r="D46" s="2123" t="s">
        <v>1470</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1732</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5"/>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6"/>
      <c r="D66" s="2077"/>
      <c r="E66" s="2077"/>
      <c r="F66" s="2077"/>
      <c r="G66" s="2077"/>
      <c r="H66" s="2077"/>
      <c r="I66" s="1855"/>
      <c r="J66" s="1855"/>
      <c r="K66" s="1855"/>
      <c r="L66" s="1855"/>
      <c r="M66" s="1855"/>
      <c r="N66" s="1855"/>
      <c r="O66" s="84"/>
      <c r="P66" s="84"/>
    </row>
    <row r="67" spans="1:16" s="1237" customFormat="1" ht="14.25">
      <c r="A67" s="2126"/>
      <c r="D67" s="2077"/>
      <c r="E67" s="2077"/>
      <c r="F67" s="2077"/>
      <c r="G67" s="2077"/>
      <c r="H67" s="2077"/>
      <c r="I67" s="1855"/>
      <c r="J67" s="1855"/>
      <c r="K67" s="1855"/>
      <c r="L67" s="1855"/>
      <c r="M67" s="1855"/>
      <c r="N67" s="1855"/>
      <c r="O67" s="84"/>
      <c r="P67" s="84"/>
    </row>
    <row r="68" spans="1:16" s="1237" customFormat="1" ht="14.25">
      <c r="A68" s="2126"/>
      <c r="D68" s="2077"/>
      <c r="E68" s="2077"/>
      <c r="F68" s="2077"/>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4"/>
      <c r="D153" s="1853"/>
      <c r="E153" s="1853"/>
      <c r="F153" s="1853"/>
      <c r="G153" s="1853"/>
      <c r="H153" s="1853"/>
      <c r="O153" s="84"/>
      <c r="P153" s="84"/>
    </row>
    <row r="154" spans="1:16" s="1237" customFormat="1">
      <c r="A154" s="2127"/>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6" t="s">
        <v>1733</v>
      </c>
      <c r="B1" s="2827"/>
      <c r="C1" s="2827"/>
      <c r="D1" s="2827"/>
      <c r="E1" s="2827"/>
      <c r="F1" s="2827"/>
      <c r="G1" s="282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1734</v>
      </c>
      <c r="D2" s="2138"/>
      <c r="E2" s="2139"/>
      <c r="F2" s="2140"/>
      <c r="G2" s="2137" t="s">
        <v>1735</v>
      </c>
      <c r="H2" s="2141"/>
      <c r="I2" s="2141"/>
      <c r="J2" s="2141"/>
      <c r="K2" s="2141"/>
      <c r="L2" s="2141"/>
      <c r="M2" s="2141"/>
      <c r="N2" s="2141"/>
      <c r="O2" s="2141"/>
      <c r="P2" s="2141"/>
      <c r="Q2" s="2141"/>
      <c r="R2" s="2141"/>
    </row>
    <row r="3" spans="1:29" ht="54">
      <c r="A3" s="395" t="s">
        <v>1736</v>
      </c>
      <c r="B3" s="2143" t="s">
        <v>1737</v>
      </c>
      <c r="C3" s="2144" t="s">
        <v>1738</v>
      </c>
      <c r="D3" s="2145"/>
      <c r="E3" s="411" t="s">
        <v>1736</v>
      </c>
      <c r="F3" s="2146" t="s">
        <v>1739</v>
      </c>
      <c r="G3" s="2147" t="s">
        <v>1740</v>
      </c>
      <c r="H3" s="2141"/>
      <c r="I3" s="2141"/>
      <c r="J3" s="2141"/>
      <c r="K3" s="2141"/>
      <c r="L3" s="2141"/>
      <c r="M3" s="2141"/>
      <c r="N3" s="2141"/>
      <c r="O3" s="2141"/>
      <c r="P3" s="2141"/>
      <c r="Q3" s="2141"/>
      <c r="R3" s="2141"/>
    </row>
    <row r="4" spans="1:29" ht="41.25">
      <c r="A4" s="411"/>
      <c r="B4" s="1887" t="s">
        <v>1741</v>
      </c>
      <c r="C4" s="2148" t="s">
        <v>1742</v>
      </c>
      <c r="D4" s="2145"/>
      <c r="E4" s="2149"/>
      <c r="F4" s="2150" t="s">
        <v>1743</v>
      </c>
      <c r="G4" s="2151" t="s">
        <v>1744</v>
      </c>
      <c r="H4" s="2141"/>
      <c r="I4" s="2141"/>
      <c r="J4" s="2141"/>
      <c r="K4" s="2141"/>
      <c r="L4" s="2141"/>
      <c r="M4" s="2141"/>
      <c r="N4" s="2141"/>
      <c r="O4" s="2141"/>
      <c r="P4" s="2141"/>
      <c r="Q4" s="2141"/>
      <c r="R4" s="2141"/>
    </row>
    <row r="5" spans="1:29" ht="41.25">
      <c r="A5" s="411"/>
      <c r="B5" s="1887" t="s">
        <v>1745</v>
      </c>
      <c r="C5" s="2148" t="s">
        <v>1746</v>
      </c>
      <c r="D5" s="2145"/>
      <c r="E5" s="2149"/>
      <c r="F5" s="1887" t="s">
        <v>1747</v>
      </c>
      <c r="G5" s="2151" t="s">
        <v>1748</v>
      </c>
      <c r="H5" s="2141"/>
      <c r="I5" s="2141"/>
      <c r="J5" s="2141"/>
      <c r="K5" s="2141"/>
      <c r="L5" s="2141"/>
      <c r="M5" s="2141"/>
      <c r="N5" s="2141"/>
      <c r="O5" s="2141"/>
      <c r="P5" s="2141"/>
      <c r="Q5" s="2141"/>
      <c r="R5" s="2141"/>
    </row>
    <row r="6" spans="1:29" ht="54">
      <c r="A6" s="411"/>
      <c r="B6" s="1887" t="s">
        <v>1749</v>
      </c>
      <c r="C6" s="2151" t="s">
        <v>1744</v>
      </c>
      <c r="D6" s="2145"/>
      <c r="E6" s="2149"/>
      <c r="F6" s="1887" t="s">
        <v>1750</v>
      </c>
      <c r="G6" s="2151" t="s">
        <v>1751</v>
      </c>
      <c r="H6" s="2141"/>
      <c r="I6" s="2141"/>
      <c r="J6" s="2141"/>
      <c r="K6" s="2141"/>
      <c r="L6" s="2141"/>
      <c r="M6" s="2141"/>
      <c r="N6" s="2141"/>
      <c r="O6" s="2141"/>
      <c r="P6" s="2141"/>
      <c r="Q6" s="2141"/>
      <c r="R6" s="2141"/>
    </row>
    <row r="7" spans="1:29" ht="41.25" thickBot="1">
      <c r="A7" s="411"/>
      <c r="B7" s="1887" t="s">
        <v>1747</v>
      </c>
      <c r="C7" s="2151" t="s">
        <v>1748</v>
      </c>
      <c r="D7" s="2152"/>
      <c r="E7" s="2153"/>
      <c r="F7" s="2154" t="s">
        <v>1752</v>
      </c>
      <c r="G7" s="2155" t="s">
        <v>1753</v>
      </c>
      <c r="H7" s="2141"/>
      <c r="I7" s="2141"/>
      <c r="J7" s="2141"/>
      <c r="K7" s="2141"/>
      <c r="L7" s="2141"/>
      <c r="M7" s="2141"/>
      <c r="N7" s="2141"/>
      <c r="O7" s="2141"/>
      <c r="P7" s="2141"/>
      <c r="Q7" s="2141"/>
      <c r="R7" s="2141"/>
    </row>
    <row r="8" spans="1:29" ht="27">
      <c r="A8" s="411"/>
      <c r="B8" s="1887" t="s">
        <v>1750</v>
      </c>
      <c r="C8" s="2151" t="s">
        <v>1751</v>
      </c>
      <c r="D8" s="2152"/>
      <c r="E8" s="2152"/>
      <c r="F8" s="1246"/>
      <c r="G8" s="1246"/>
      <c r="H8" s="2141"/>
      <c r="I8" s="2141"/>
      <c r="J8" s="2141"/>
      <c r="K8" s="2141"/>
      <c r="L8" s="2141"/>
      <c r="M8" s="2141"/>
      <c r="N8" s="2141"/>
      <c r="O8" s="2141"/>
      <c r="P8" s="2141"/>
      <c r="Q8" s="2141"/>
      <c r="R8" s="2141"/>
    </row>
    <row r="9" spans="1:29" ht="27">
      <c r="A9" s="411"/>
      <c r="B9" s="1887" t="s">
        <v>1754</v>
      </c>
      <c r="C9" s="2148" t="s">
        <v>1755</v>
      </c>
      <c r="D9" s="2145"/>
      <c r="E9" s="2152"/>
      <c r="F9" s="1246"/>
      <c r="G9" s="1246"/>
      <c r="H9" s="2141"/>
      <c r="I9" s="2141"/>
      <c r="J9" s="2141"/>
      <c r="K9" s="2141"/>
      <c r="L9" s="2141"/>
      <c r="M9" s="2141"/>
      <c r="N9" s="2141"/>
      <c r="O9" s="2141"/>
      <c r="P9" s="2141"/>
      <c r="Q9" s="2141"/>
      <c r="R9" s="2141"/>
    </row>
    <row r="10" spans="1:29" s="35" customFormat="1" ht="15.75" thickBot="1">
      <c r="A10" s="2156"/>
      <c r="B10" s="2157" t="s">
        <v>1756</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1757</v>
      </c>
      <c r="B13" s="2163"/>
      <c r="C13" s="2163"/>
      <c r="D13" s="2138"/>
      <c r="E13" s="2163"/>
      <c r="F13" s="2163"/>
      <c r="G13" s="2163"/>
    </row>
    <row r="14" spans="1:29" ht="15.75" thickBot="1">
      <c r="A14" s="2173"/>
      <c r="B14" s="2174"/>
      <c r="C14" s="2175" t="s">
        <v>1758</v>
      </c>
      <c r="D14" s="2145"/>
      <c r="E14" s="2176"/>
      <c r="F14" s="2176"/>
      <c r="G14" s="2137" t="s">
        <v>1759</v>
      </c>
    </row>
    <row r="15" spans="1:29" ht="57">
      <c r="A15" s="25" t="s">
        <v>1760</v>
      </c>
      <c r="B15" s="2177" t="s">
        <v>1737</v>
      </c>
      <c r="C15" s="2178" t="str">
        <f>C3</f>
        <v>估价对象周边居住用地比例、居住小区规模和社区发展完善程度，综合评价居住社区成熟度一般</v>
      </c>
      <c r="D15" s="2145"/>
      <c r="E15" s="2179" t="s">
        <v>1761</v>
      </c>
      <c r="F15" s="2177" t="s">
        <v>1762</v>
      </c>
      <c r="G15" s="51" t="str">
        <f>G3</f>
        <v>估价对象位于XX开发区，园区建设成熟度XX，产业集聚程度XX</v>
      </c>
    </row>
    <row r="16" spans="1:29" ht="42.75">
      <c r="A16" s="629"/>
      <c r="B16" s="1493" t="s">
        <v>1741</v>
      </c>
      <c r="C16" s="2180" t="str">
        <f>C4</f>
        <v>估价对象位于XX商圈，周边商业氛围成熟，人流量大，商业繁华度好</v>
      </c>
      <c r="D16" s="2145"/>
      <c r="E16" s="2181"/>
      <c r="F16" s="2182" t="s">
        <v>1743</v>
      </c>
      <c r="G16" s="52" t="str">
        <f>G4</f>
        <v>估价对象周边道路状况、公共交通通达情况、停车便捷程度，综合评价交通便捷度较好</v>
      </c>
    </row>
    <row r="17" spans="1:18" ht="42.75">
      <c r="A17" s="629"/>
      <c r="B17" s="1493" t="s">
        <v>1745</v>
      </c>
      <c r="C17" s="2180" t="str">
        <f>C5</f>
        <v>估价对象位于XX商圈，周边办公楼项目较多，入驻率高，办公集聚程度较好</v>
      </c>
      <c r="D17" s="2152"/>
      <c r="E17" s="2181"/>
      <c r="F17" s="2182" t="s">
        <v>1763</v>
      </c>
      <c r="G17" s="2183"/>
    </row>
    <row r="18" spans="1:18" ht="57">
      <c r="A18" s="629"/>
      <c r="B18" s="2182" t="s">
        <v>1749</v>
      </c>
      <c r="C18" s="52" t="str">
        <f>C6</f>
        <v>估价对象周边道路状况、公共交通通达情况、停车便捷程度，综合评价交通便捷度较好</v>
      </c>
      <c r="D18" s="2152"/>
      <c r="E18" s="2181"/>
      <c r="F18" s="2182" t="s">
        <v>1752</v>
      </c>
      <c r="G18" s="52" t="str">
        <f>G7</f>
        <v>该园区内是否有污染型企业，绿化情况，卫生条件，整体环境状况判断</v>
      </c>
    </row>
    <row r="19" spans="1:18" ht="28.5">
      <c r="A19" s="629"/>
      <c r="B19" s="2182" t="s">
        <v>1764</v>
      </c>
      <c r="C19" s="2183"/>
      <c r="D19" s="2145"/>
      <c r="E19" s="2181"/>
      <c r="F19" s="1887" t="s">
        <v>1747</v>
      </c>
      <c r="G19" s="52" t="str">
        <f>G5</f>
        <v>估价对象所在区域公共配套设施齐备情况</v>
      </c>
    </row>
    <row r="20" spans="1:18" ht="28.5">
      <c r="A20" s="629"/>
      <c r="B20" s="2182" t="s">
        <v>1765</v>
      </c>
      <c r="C20" s="2180" t="str">
        <f>C9</f>
        <v>区域自然环境：；人文环境；综合评价环境状况一般</v>
      </c>
      <c r="D20" s="2152"/>
      <c r="E20" s="2181"/>
      <c r="F20" s="1887" t="s">
        <v>1766</v>
      </c>
      <c r="G20" s="52" t="str">
        <f>G6</f>
        <v>估价对象所在区域基础设施水平</v>
      </c>
    </row>
    <row r="21" spans="1:18" ht="28.5">
      <c r="A21" s="629"/>
      <c r="B21" s="1887" t="s">
        <v>1747</v>
      </c>
      <c r="C21" s="52" t="str">
        <f>C7</f>
        <v>估价对象所在区域公共配套设施齐备情况</v>
      </c>
      <c r="D21" s="2145"/>
      <c r="E21" s="2181"/>
      <c r="F21" s="2182" t="s">
        <v>1767</v>
      </c>
      <c r="G21" s="2184"/>
    </row>
    <row r="22" spans="1:18" ht="28.5">
      <c r="A22" s="629"/>
      <c r="B22" s="1887" t="s">
        <v>1750</v>
      </c>
      <c r="C22" s="52" t="str">
        <f>C8</f>
        <v>估价对象所在区域基础设施水平</v>
      </c>
      <c r="D22" s="2145"/>
      <c r="E22" s="2181"/>
      <c r="F22" s="2182" t="s">
        <v>1756</v>
      </c>
      <c r="G22" s="2185"/>
    </row>
    <row r="23" spans="1:18" s="2141" customFormat="1" ht="15.75" thickBot="1">
      <c r="A23" s="629"/>
      <c r="B23" s="2182" t="s">
        <v>1767</v>
      </c>
      <c r="C23" s="2184"/>
      <c r="D23" s="2170"/>
      <c r="E23" s="2186"/>
      <c r="F23" s="2187" t="s">
        <v>1768</v>
      </c>
      <c r="G23" s="2188"/>
      <c r="H23" s="2170"/>
      <c r="I23" s="2171"/>
      <c r="J23" s="2170"/>
      <c r="K23" s="2170"/>
      <c r="L23" s="2171"/>
      <c r="M23" s="2170"/>
      <c r="N23" s="2170"/>
      <c r="O23" s="2171"/>
      <c r="P23" s="2170"/>
      <c r="Q23" s="2170"/>
      <c r="R23" s="2172"/>
    </row>
    <row r="24" spans="1:18" s="2141" customFormat="1" ht="15.75" thickBot="1">
      <c r="A24" s="2189"/>
      <c r="B24" s="2187" t="s">
        <v>1769</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C20" sqref="C20"/>
    </sheetView>
  </sheetViews>
  <sheetFormatPr defaultColWidth="14.625" defaultRowHeight="13.5"/>
  <cols>
    <col min="1" max="1" width="24.375" customWidth="1"/>
  </cols>
  <sheetData>
    <row r="1" spans="1:9" ht="16.5">
      <c r="A1" s="1830" t="s">
        <v>1222</v>
      </c>
      <c r="B1" s="1830">
        <f>SUM(B14:B23)</f>
        <v>689.57</v>
      </c>
      <c r="C1" s="1831"/>
      <c r="D1" s="1831"/>
      <c r="E1" s="1831"/>
      <c r="F1" s="1831"/>
      <c r="G1" s="1835"/>
    </row>
    <row r="2" spans="1:9" ht="16.5">
      <c r="A2" s="1830" t="s">
        <v>1223</v>
      </c>
      <c r="B2" s="1830">
        <f>SUM(C14:C23)</f>
        <v>0</v>
      </c>
      <c r="C2" s="1831"/>
      <c r="D2" s="1831"/>
      <c r="E2" s="1831"/>
      <c r="F2" s="1831"/>
      <c r="G2" s="1835"/>
    </row>
    <row r="3" spans="1:9" ht="16.5">
      <c r="A3" s="1830" t="s">
        <v>1224</v>
      </c>
      <c r="B3" s="1833">
        <f>项目基本情况!D2</f>
        <v>42961</v>
      </c>
      <c r="C3" s="1831"/>
      <c r="D3" s="1831"/>
      <c r="E3" s="1831"/>
      <c r="F3" s="1831"/>
      <c r="G3" s="1835"/>
    </row>
    <row r="4" spans="1:9" ht="33">
      <c r="A4" s="1830" t="s">
        <v>1225</v>
      </c>
      <c r="B4" s="1830" t="s">
        <v>1226</v>
      </c>
      <c r="C4" s="1830" t="s">
        <v>1227</v>
      </c>
      <c r="D4" s="1830" t="s">
        <v>1228</v>
      </c>
      <c r="E4" s="1831"/>
      <c r="F4" s="1835"/>
      <c r="G4" s="1835"/>
    </row>
    <row r="5" spans="1:9" ht="16.5">
      <c r="A5" s="1830" t="s">
        <v>1229</v>
      </c>
      <c r="B5" s="1830">
        <f ca="1">SUM(D14:D23)</f>
        <v>1724.3181999999999</v>
      </c>
      <c r="C5" s="1830">
        <f ca="1">ROUND(B5*10000/$B$1,0)</f>
        <v>25006</v>
      </c>
      <c r="D5" s="1830" t="e">
        <f ca="1">ROUND(B5*10000/$B$2,0)</f>
        <v>#DIV/0!</v>
      </c>
      <c r="E5" s="1831"/>
      <c r="F5" s="1835"/>
      <c r="G5" s="1835"/>
    </row>
    <row r="6" spans="1:9" ht="16.5">
      <c r="A6" s="1830" t="s">
        <v>1230</v>
      </c>
      <c r="B6" s="1830">
        <f ca="1">SUM(G14:G23)</f>
        <v>1724.3181999999999</v>
      </c>
      <c r="C6" s="1830">
        <f t="shared" ref="C6:C8" ca="1" si="0">ROUND(B6*10000/$B$1,0)</f>
        <v>25006</v>
      </c>
      <c r="D6" s="1830" t="e">
        <f t="shared" ref="D6:D8" ca="1" si="1">ROUND(B6*10000/$B$2,0)</f>
        <v>#DIV/0!</v>
      </c>
      <c r="E6" s="1831"/>
      <c r="F6" s="1835"/>
      <c r="G6" s="1835"/>
    </row>
    <row r="7" spans="1:9" ht="16.5">
      <c r="A7" s="1830" t="s">
        <v>1231</v>
      </c>
      <c r="B7" s="1830" t="e">
        <f>SUM(H14:H23)</f>
        <v>#VALUE!</v>
      </c>
      <c r="C7" s="1830" t="e">
        <f>ROUND(B7*10000/$B$1,0)</f>
        <v>#VALUE!</v>
      </c>
      <c r="D7" s="1830" t="e">
        <f t="shared" si="1"/>
        <v>#VALUE!</v>
      </c>
      <c r="E7" s="1831"/>
      <c r="F7" s="1835"/>
      <c r="G7" s="1835"/>
    </row>
    <row r="8" spans="1:9" ht="16.5">
      <c r="A8" s="1830" t="s">
        <v>1232</v>
      </c>
      <c r="B8" s="1830" t="e">
        <f>SUM(I14:I23)</f>
        <v>#VALUE!</v>
      </c>
      <c r="C8" s="1830" t="e">
        <f t="shared" si="0"/>
        <v>#VALUE!</v>
      </c>
      <c r="D8" s="1830" t="e">
        <f t="shared" si="1"/>
        <v>#VALUE!</v>
      </c>
      <c r="E8" s="1831"/>
      <c r="F8" s="1835"/>
      <c r="G8" s="1835"/>
    </row>
    <row r="9" spans="1:9" ht="16.5">
      <c r="A9" s="1830" t="s">
        <v>1233</v>
      </c>
      <c r="B9" s="1836"/>
      <c r="C9" s="1831"/>
      <c r="D9" s="1831"/>
      <c r="E9" s="1831"/>
      <c r="F9" s="1835"/>
      <c r="G9" s="1835"/>
    </row>
    <row r="10" spans="1:9" ht="16.5">
      <c r="A10" s="1830" t="s">
        <v>1234</v>
      </c>
      <c r="B10" s="1836"/>
      <c r="C10" s="1831"/>
      <c r="D10" s="1831"/>
      <c r="E10" s="1831"/>
      <c r="F10" s="1835"/>
      <c r="G10" s="1835"/>
    </row>
    <row r="11" spans="1:9" ht="16.5">
      <c r="A11" s="1830" t="s">
        <v>1249</v>
      </c>
      <c r="B11" s="1836"/>
      <c r="C11" s="1831"/>
      <c r="D11" s="1831"/>
      <c r="E11" s="1831"/>
      <c r="F11" s="1835"/>
      <c r="G11" s="1835"/>
    </row>
    <row r="12" spans="1:9" ht="16.5">
      <c r="A12" s="1831"/>
      <c r="B12" s="1831"/>
      <c r="C12" s="1831"/>
      <c r="D12" s="1831"/>
      <c r="E12" s="1831"/>
      <c r="F12" s="1835"/>
      <c r="G12" s="1835"/>
    </row>
    <row r="13" spans="1:9" ht="33">
      <c r="A13" s="1840" t="s">
        <v>1248</v>
      </c>
      <c r="B13" s="1834" t="s">
        <v>1222</v>
      </c>
      <c r="C13" s="1834" t="s">
        <v>1223</v>
      </c>
      <c r="D13" s="1834" t="s">
        <v>1235</v>
      </c>
      <c r="E13" s="1830" t="s">
        <v>1227</v>
      </c>
      <c r="F13" s="1830" t="s">
        <v>1228</v>
      </c>
      <c r="G13" s="1834" t="s">
        <v>1236</v>
      </c>
      <c r="H13" s="1834" t="s">
        <v>1237</v>
      </c>
      <c r="I13" s="1834" t="s">
        <v>1238</v>
      </c>
    </row>
    <row r="14" spans="1:9" ht="16.5">
      <c r="A14" s="1837" t="s">
        <v>2845</v>
      </c>
      <c r="B14" s="1834">
        <f>项目基本情况!C12</f>
        <v>689.57</v>
      </c>
      <c r="C14" s="1834">
        <f>项目基本情况!C13</f>
        <v>0</v>
      </c>
      <c r="D14" s="1834">
        <f ca="1">IF('数据-取费表'!B3="万元",IF(A14="估价对象1（结果表）",结果表!H121,'结果表 (1修多)'!H124),IF(A14="估价对象1（结果表）",结果表!H121,'结果表 (1修多)'!H124)/10000)</f>
        <v>1724.3181999999999</v>
      </c>
      <c r="E14" s="1834">
        <f ca="1">ROUND(D14*10000/B14,0)</f>
        <v>25006</v>
      </c>
      <c r="F14" s="1834" t="e">
        <f ca="1">ROUND(D14*10000/C14,0)</f>
        <v>#DIV/0!</v>
      </c>
      <c r="G14" s="1834">
        <f ca="1">IF('数据-取费表'!B3="万元",IF(A14="估价对象1（结果表）",结果表!D125,'结果表 (1修多)'!D128),IF(A14="估价对象1（结果表）",结果表!D125,'结果表 (1修多)'!D128)/10000)</f>
        <v>1724.3181999999999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1239</v>
      </c>
      <c r="B15" s="1838"/>
      <c r="C15" s="1838"/>
      <c r="D15" s="1838"/>
      <c r="E15" s="1834" t="e">
        <f t="shared" ref="E15:E23" si="2">ROUND(D15*10000/B15,0)</f>
        <v>#DIV/0!</v>
      </c>
      <c r="F15" s="1834" t="e">
        <f t="shared" ref="F15:F23" si="3">ROUND(D15*10000/C15,0)</f>
        <v>#DIV/0!</v>
      </c>
      <c r="G15" s="1839"/>
      <c r="H15" s="1839"/>
      <c r="I15" s="1838"/>
    </row>
    <row r="16" spans="1:9" ht="16.5">
      <c r="A16" s="1832" t="s">
        <v>1240</v>
      </c>
      <c r="B16" s="1838"/>
      <c r="C16" s="1838"/>
      <c r="D16" s="1838"/>
      <c r="E16" s="1834" t="e">
        <f t="shared" si="2"/>
        <v>#DIV/0!</v>
      </c>
      <c r="F16" s="1834" t="e">
        <f t="shared" si="3"/>
        <v>#DIV/0!</v>
      </c>
      <c r="G16" s="1839"/>
      <c r="H16" s="1839"/>
      <c r="I16" s="1838"/>
    </row>
    <row r="17" spans="1:9" ht="16.5">
      <c r="A17" s="1832" t="s">
        <v>1241</v>
      </c>
      <c r="B17" s="1838"/>
      <c r="C17" s="1838"/>
      <c r="D17" s="1838"/>
      <c r="E17" s="1834" t="e">
        <f t="shared" si="2"/>
        <v>#DIV/0!</v>
      </c>
      <c r="F17" s="1834" t="e">
        <f t="shared" si="3"/>
        <v>#DIV/0!</v>
      </c>
      <c r="G17" s="1839"/>
      <c r="H17" s="1839"/>
      <c r="I17" s="1838"/>
    </row>
    <row r="18" spans="1:9" ht="16.5">
      <c r="A18" s="1832" t="s">
        <v>1242</v>
      </c>
      <c r="B18" s="1838"/>
      <c r="C18" s="1838"/>
      <c r="D18" s="1838"/>
      <c r="E18" s="1834" t="e">
        <f t="shared" si="2"/>
        <v>#DIV/0!</v>
      </c>
      <c r="F18" s="1834" t="e">
        <f t="shared" si="3"/>
        <v>#DIV/0!</v>
      </c>
      <c r="G18" s="1838"/>
      <c r="H18" s="1838"/>
      <c r="I18" s="1838"/>
    </row>
    <row r="19" spans="1:9" ht="16.5">
      <c r="A19" s="1832" t="s">
        <v>1243</v>
      </c>
      <c r="B19" s="1838"/>
      <c r="C19" s="1838"/>
      <c r="D19" s="1838"/>
      <c r="E19" s="1834" t="e">
        <f t="shared" si="2"/>
        <v>#DIV/0!</v>
      </c>
      <c r="F19" s="1834" t="e">
        <f t="shared" si="3"/>
        <v>#DIV/0!</v>
      </c>
      <c r="G19" s="1838"/>
      <c r="H19" s="1838"/>
      <c r="I19" s="1838"/>
    </row>
    <row r="20" spans="1:9" ht="16.5">
      <c r="A20" s="1832" t="s">
        <v>1244</v>
      </c>
      <c r="B20" s="1838"/>
      <c r="C20" s="1838"/>
      <c r="D20" s="1838"/>
      <c r="E20" s="1834" t="e">
        <f t="shared" si="2"/>
        <v>#DIV/0!</v>
      </c>
      <c r="F20" s="1834" t="e">
        <f t="shared" si="3"/>
        <v>#DIV/0!</v>
      </c>
      <c r="G20" s="1838"/>
      <c r="H20" s="1838"/>
      <c r="I20" s="1838"/>
    </row>
    <row r="21" spans="1:9" ht="16.5">
      <c r="A21" s="1832" t="s">
        <v>1245</v>
      </c>
      <c r="B21" s="1838"/>
      <c r="C21" s="1838"/>
      <c r="D21" s="1838"/>
      <c r="E21" s="1834" t="e">
        <f t="shared" si="2"/>
        <v>#DIV/0!</v>
      </c>
      <c r="F21" s="1834" t="e">
        <f t="shared" si="3"/>
        <v>#DIV/0!</v>
      </c>
      <c r="G21" s="1838"/>
      <c r="H21" s="1838"/>
      <c r="I21" s="1838"/>
    </row>
    <row r="22" spans="1:9" ht="16.5">
      <c r="A22" s="1832" t="s">
        <v>1246</v>
      </c>
      <c r="B22" s="1838"/>
      <c r="C22" s="1838"/>
      <c r="D22" s="1838"/>
      <c r="E22" s="1834" t="e">
        <f t="shared" si="2"/>
        <v>#DIV/0!</v>
      </c>
      <c r="F22" s="1834" t="e">
        <f t="shared" si="3"/>
        <v>#DIV/0!</v>
      </c>
      <c r="G22" s="1838"/>
      <c r="H22" s="1838"/>
      <c r="I22" s="1838"/>
    </row>
    <row r="23" spans="1:9" ht="16.5">
      <c r="A23" s="1832" t="s">
        <v>1247</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K24" sqref="K24"/>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1770</v>
      </c>
      <c r="B1" s="2196"/>
      <c r="C1" s="2196"/>
      <c r="D1" s="2196"/>
      <c r="E1" s="2196"/>
      <c r="F1" s="2196"/>
      <c r="G1" s="2196"/>
      <c r="H1" s="2196"/>
      <c r="I1" s="2196"/>
    </row>
    <row r="2" spans="1:12" ht="21.75" customHeight="1">
      <c r="A2" s="2892" t="str">
        <f>项目基本情况!B1</f>
        <v>北京市预评估</v>
      </c>
      <c r="B2" s="2892"/>
      <c r="C2" s="2892"/>
      <c r="D2" s="2892"/>
      <c r="E2" s="2892"/>
      <c r="F2" s="2892"/>
      <c r="G2" s="2892"/>
      <c r="H2" s="2892"/>
      <c r="I2" s="2892"/>
    </row>
    <row r="3" spans="1:12" ht="12.75">
      <c r="A3" s="2895" t="s">
        <v>1771</v>
      </c>
      <c r="B3" s="2896"/>
      <c r="C3" s="2896"/>
      <c r="D3" s="2896"/>
      <c r="E3" s="2896"/>
      <c r="F3" s="2896"/>
      <c r="G3" s="2896"/>
      <c r="H3" s="2896"/>
      <c r="I3" s="2896"/>
    </row>
    <row r="4" spans="1:12" ht="14.25">
      <c r="A4" s="2198" t="s">
        <v>1772</v>
      </c>
      <c r="B4" s="2199" t="s">
        <v>1773</v>
      </c>
      <c r="C4" s="2200" t="s">
        <v>2836</v>
      </c>
      <c r="D4" s="2200" t="s">
        <v>2840</v>
      </c>
      <c r="E4" s="2876" t="s">
        <v>1774</v>
      </c>
      <c r="F4" s="2877"/>
      <c r="G4" s="2877"/>
      <c r="H4" s="2877"/>
      <c r="I4" s="288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869" t="s">
        <v>1775</v>
      </c>
      <c r="B5" s="2831">
        <v>25</v>
      </c>
      <c r="C5" s="2880">
        <v>80</v>
      </c>
      <c r="D5" s="2894">
        <f>100-C5</f>
        <v>20</v>
      </c>
      <c r="E5" s="56" t="s">
        <v>1776</v>
      </c>
      <c r="F5" s="2201"/>
      <c r="G5" s="2201"/>
      <c r="H5" s="2201"/>
      <c r="I5" s="2202"/>
    </row>
    <row r="6" spans="1:12" ht="12.75">
      <c r="A6" s="2869"/>
      <c r="B6" s="2831"/>
      <c r="C6" s="2897"/>
      <c r="D6" s="2894"/>
      <c r="E6" s="56" t="s">
        <v>1777</v>
      </c>
      <c r="F6" s="2201"/>
      <c r="G6" s="2201"/>
      <c r="H6" s="2201"/>
      <c r="I6" s="2202"/>
    </row>
    <row r="7" spans="1:12" ht="12.75">
      <c r="A7" s="2869"/>
      <c r="B7" s="2831"/>
      <c r="C7" s="2881"/>
      <c r="D7" s="2894"/>
      <c r="E7" s="56" t="s">
        <v>1778</v>
      </c>
      <c r="F7" s="2201"/>
      <c r="G7" s="2201"/>
      <c r="H7" s="2201"/>
      <c r="I7" s="2202"/>
    </row>
    <row r="8" spans="1:12" ht="12.75">
      <c r="A8" s="2869" t="s">
        <v>1779</v>
      </c>
      <c r="B8" s="2831">
        <v>15</v>
      </c>
      <c r="C8" s="2880"/>
      <c r="D8" s="2894"/>
      <c r="E8" s="56" t="s">
        <v>1780</v>
      </c>
      <c r="F8" s="2201"/>
      <c r="G8" s="2201"/>
      <c r="H8" s="2201"/>
      <c r="I8" s="2202"/>
    </row>
    <row r="9" spans="1:12" ht="12.75">
      <c r="A9" s="2869"/>
      <c r="B9" s="2831"/>
      <c r="C9" s="2881"/>
      <c r="D9" s="2894"/>
      <c r="E9" s="56" t="s">
        <v>1781</v>
      </c>
      <c r="F9" s="2201"/>
      <c r="G9" s="2201"/>
      <c r="H9" s="2201"/>
      <c r="I9" s="2202"/>
    </row>
    <row r="10" spans="1:12" ht="12.75">
      <c r="A10" s="2869" t="s">
        <v>1782</v>
      </c>
      <c r="B10" s="2831">
        <v>15</v>
      </c>
      <c r="C10" s="2880"/>
      <c r="D10" s="2894"/>
      <c r="E10" s="56" t="s">
        <v>1783</v>
      </c>
      <c r="F10" s="2201"/>
      <c r="G10" s="2201"/>
      <c r="H10" s="2201"/>
      <c r="I10" s="2202"/>
    </row>
    <row r="11" spans="1:12" ht="12.75">
      <c r="A11" s="2869"/>
      <c r="B11" s="2831"/>
      <c r="C11" s="2881"/>
      <c r="D11" s="2894"/>
      <c r="E11" s="56" t="s">
        <v>1784</v>
      </c>
      <c r="F11" s="2201"/>
      <c r="G11" s="2201"/>
      <c r="H11" s="2201"/>
      <c r="I11" s="2202"/>
    </row>
    <row r="12" spans="1:12" ht="12.75">
      <c r="A12" s="2869" t="s">
        <v>1785</v>
      </c>
      <c r="B12" s="2831">
        <v>15</v>
      </c>
      <c r="C12" s="2880"/>
      <c r="D12" s="2894"/>
      <c r="E12" s="56" t="s">
        <v>1786</v>
      </c>
      <c r="F12" s="2201"/>
      <c r="G12" s="2201"/>
      <c r="H12" s="2201"/>
      <c r="I12" s="2202"/>
    </row>
    <row r="13" spans="1:12" ht="12.75">
      <c r="A13" s="2869"/>
      <c r="B13" s="2831"/>
      <c r="C13" s="2881"/>
      <c r="D13" s="2894"/>
      <c r="E13" s="56" t="s">
        <v>1787</v>
      </c>
      <c r="F13" s="2201"/>
      <c r="G13" s="2201"/>
      <c r="H13" s="2201"/>
      <c r="I13" s="2202"/>
    </row>
    <row r="14" spans="1:12" ht="12.75">
      <c r="A14" s="2869" t="s">
        <v>1788</v>
      </c>
      <c r="B14" s="2831">
        <v>30</v>
      </c>
      <c r="C14" s="2880"/>
      <c r="D14" s="2894"/>
      <c r="E14" s="56" t="s">
        <v>1789</v>
      </c>
      <c r="F14" s="2201"/>
      <c r="G14" s="2201"/>
      <c r="H14" s="2201"/>
      <c r="I14" s="2202"/>
    </row>
    <row r="15" spans="1:12" ht="12.75">
      <c r="A15" s="2869"/>
      <c r="B15" s="2831"/>
      <c r="C15" s="2897"/>
      <c r="D15" s="2894"/>
      <c r="E15" s="56" t="s">
        <v>1790</v>
      </c>
      <c r="F15" s="2201"/>
      <c r="G15" s="2201"/>
      <c r="H15" s="2201"/>
      <c r="I15" s="2202"/>
    </row>
    <row r="16" spans="1:12" ht="12.75">
      <c r="A16" s="2869"/>
      <c r="B16" s="2831"/>
      <c r="C16" s="2881"/>
      <c r="D16" s="2894"/>
      <c r="E16" s="56" t="s">
        <v>1791</v>
      </c>
      <c r="F16" s="2201"/>
      <c r="G16" s="2201"/>
      <c r="H16" s="2201"/>
      <c r="I16" s="2202"/>
    </row>
    <row r="17" spans="1:35" ht="15">
      <c r="A17" s="2203" t="s">
        <v>1792</v>
      </c>
      <c r="B17" s="2204"/>
      <c r="C17" s="57">
        <f>SUM(C5:C16)</f>
        <v>80</v>
      </c>
      <c r="D17" s="57">
        <f>SUM(D5:D16)</f>
        <v>20</v>
      </c>
      <c r="E17" s="2196"/>
      <c r="F17" s="2196"/>
      <c r="G17" s="2196"/>
      <c r="H17" s="2196"/>
      <c r="I17" s="2196"/>
    </row>
    <row r="18" spans="1:35" ht="15.75" thickBot="1">
      <c r="A18" s="2205" t="s">
        <v>1793</v>
      </c>
      <c r="B18" s="2206"/>
      <c r="C18" s="58">
        <f>ROUND(C17/SUM(C17:D17),2)</f>
        <v>0.8</v>
      </c>
      <c r="D18" s="58">
        <f>1-C18</f>
        <v>0.19999999999999996</v>
      </c>
      <c r="E18" s="2196"/>
      <c r="F18" s="2196"/>
      <c r="G18" s="2196"/>
      <c r="H18" s="2196"/>
      <c r="I18" s="2196"/>
    </row>
    <row r="19" spans="1:35" ht="15">
      <c r="A19" s="2207" t="s">
        <v>1794</v>
      </c>
      <c r="B19" s="2208" t="s">
        <v>1795</v>
      </c>
      <c r="C19" s="59">
        <f ca="1">SUMIF(INDIRECT("'"&amp;C4&amp;"'"&amp;"!A:A"),结果表!B19,INDIRECT("'"&amp;C4&amp;"'"&amp;"!B:B"))</f>
        <v>15827767</v>
      </c>
      <c r="D19" s="60">
        <f ca="1">SUMIF(INDIRECT("'"&amp;D4&amp;"'"&amp;"!A:A"),结果表!B19,INDIRECT("'"&amp;D4&amp;"'"&amp;"!B:B"))</f>
        <v>22904841</v>
      </c>
      <c r="E19" s="2207" t="s">
        <v>1796</v>
      </c>
      <c r="F19" s="2208" t="s">
        <v>1795</v>
      </c>
      <c r="G19" s="61">
        <f ca="1">ROUND(C19*$C$18+D19*$D$18,0)</f>
        <v>17243182</v>
      </c>
      <c r="H19" s="2209" t="str">
        <f>'数据-取费表'!B3</f>
        <v>元</v>
      </c>
      <c r="I19" s="2196"/>
    </row>
    <row r="20" spans="1:35" ht="15">
      <c r="A20" s="2210"/>
      <c r="B20" s="2211" t="s">
        <v>1797</v>
      </c>
      <c r="C20" s="62">
        <f ca="1">SUMIF(INDIRECT("'"&amp;C4&amp;"'"&amp;"!A:A"),结果表!B20,INDIRECT("'"&amp;C4&amp;"'"&amp;"!B:B"))</f>
        <v>22953</v>
      </c>
      <c r="D20" s="63">
        <f ca="1">SUMIF(INDIRECT("'"&amp;D4&amp;"'"&amp;"!A:A"),结果表!B20,INDIRECT("'"&amp;D4&amp;"'"&amp;"!B:B"))</f>
        <v>33216</v>
      </c>
      <c r="E20" s="2210"/>
      <c r="F20" s="2211" t="s">
        <v>1797</v>
      </c>
      <c r="G20" s="64">
        <f ca="1">ROUND(C20*$C$18+D20*$D$18,0)</f>
        <v>25006</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f ca="1">IF(C19&lt;D19,D19/C19-1,C19/D19-1)</f>
        <v>0.44713028691918444</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1800</v>
      </c>
      <c r="B24" s="2208" t="s">
        <v>1795</v>
      </c>
      <c r="C24" s="61">
        <f>D30</f>
        <v>0</v>
      </c>
      <c r="D24" s="994"/>
      <c r="E24" s="2196"/>
      <c r="F24" s="2196"/>
      <c r="G24" s="2196"/>
      <c r="H24" s="2196"/>
      <c r="I24" s="2196"/>
    </row>
    <row r="25" spans="1:35" ht="21.75" customHeight="1">
      <c r="A25" s="2901"/>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1805</v>
      </c>
      <c r="B30" s="67"/>
      <c r="C30" s="67"/>
      <c r="D30" s="67"/>
      <c r="E30" s="2714" t="s">
        <v>2804</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1806</v>
      </c>
      <c r="B32" s="2225" t="str">
        <f>'数据-取费表'!B4</f>
        <v>总价</v>
      </c>
      <c r="C32" s="1145">
        <f ca="1">IF(B32="总价",G19-C24,G20-C25)</f>
        <v>17243182</v>
      </c>
      <c r="D32" s="2196" t="str">
        <f>IF(B32="楼面单价","元/平方米",H19)</f>
        <v>元</v>
      </c>
      <c r="E32" s="2196"/>
      <c r="F32" s="2196"/>
      <c r="G32" s="2196"/>
      <c r="H32" s="2196"/>
      <c r="I32" s="2196"/>
    </row>
    <row r="33" spans="1:16" ht="15">
      <c r="A33" s="2226" t="s">
        <v>1807</v>
      </c>
      <c r="B33" s="2227"/>
      <c r="C33" s="2228"/>
      <c r="D33" s="2229"/>
      <c r="E33" s="2230" t="s">
        <v>1808</v>
      </c>
      <c r="F33" s="2231" t="str">
        <f>IF(B32="楼面单价","取值（单价）","取值（总价）")</f>
        <v>取值（总价）</v>
      </c>
      <c r="G33" s="2196"/>
      <c r="H33" s="2196"/>
      <c r="I33" s="2196"/>
    </row>
    <row r="34" spans="1:16" ht="15">
      <c r="A34" s="2232"/>
      <c r="B34" s="2233" t="s">
        <v>1809</v>
      </c>
      <c r="C34" s="72">
        <f ca="1">IF(D33="自定义",F34,C32-C35)</f>
        <v>14329084</v>
      </c>
      <c r="D34" s="1091">
        <f ca="1">IF(D33="自定义",ROUND(C34/C32,3),1-D35)</f>
        <v>0.83099999999999996</v>
      </c>
      <c r="E34" s="2234" t="s">
        <v>1810</v>
      </c>
      <c r="F34" s="1828">
        <v>2000</v>
      </c>
      <c r="G34" s="2196"/>
      <c r="H34" s="2196"/>
      <c r="I34" s="2196"/>
    </row>
    <row r="35" spans="1:16" ht="15.75" thickBot="1">
      <c r="A35" s="2235"/>
      <c r="B35" s="2236" t="s">
        <v>1811</v>
      </c>
      <c r="C35" s="73">
        <f ca="1">IF(D33="自定义",F35,ROUND(C32*D35,0))</f>
        <v>2914098</v>
      </c>
      <c r="D35" s="1090">
        <f ca="1">IF(D33="自定义",ROUND(C35/C32,3),IF(D33="成本法成本比率",成本法!C56,IF(D33="收益法收益比率",收益法!J38,收益法!J41)))</f>
        <v>0.16900000000000001</v>
      </c>
      <c r="E35" s="2237" t="s">
        <v>1812</v>
      </c>
      <c r="F35" s="79">
        <v>4460</v>
      </c>
      <c r="G35" s="2196"/>
      <c r="H35" s="2196"/>
      <c r="I35" s="2196"/>
    </row>
    <row r="36" spans="1:16" ht="15.75" thickBot="1">
      <c r="A36" s="2882" t="s">
        <v>1813</v>
      </c>
      <c r="B36" s="2238" t="s">
        <v>1814</v>
      </c>
      <c r="C36" s="69">
        <v>0</v>
      </c>
      <c r="D36" s="2239"/>
      <c r="E36" s="2240"/>
      <c r="F36" s="2240"/>
      <c r="G36" s="2196"/>
      <c r="H36" s="2196"/>
      <c r="I36" s="2196"/>
    </row>
    <row r="37" spans="1:16" ht="15.75" thickBot="1">
      <c r="A37" s="2883"/>
      <c r="B37" s="2241" t="s">
        <v>1815</v>
      </c>
      <c r="C37" s="71">
        <v>0</v>
      </c>
      <c r="D37" s="2206"/>
      <c r="E37" s="2206"/>
      <c r="F37" s="2240"/>
      <c r="G37" s="2206"/>
      <c r="H37" s="2206"/>
      <c r="I37" s="2206"/>
    </row>
    <row r="38" spans="1:16" ht="15.75" thickBot="1">
      <c r="A38" s="2884"/>
      <c r="B38" s="2242" t="s">
        <v>1816</v>
      </c>
      <c r="C38" s="712">
        <v>0</v>
      </c>
      <c r="D38" s="2243" t="s">
        <v>1817</v>
      </c>
      <c r="E38" s="2206"/>
      <c r="F38" s="2240"/>
      <c r="G38" s="2206"/>
      <c r="H38" s="2206"/>
      <c r="I38" s="2206"/>
    </row>
    <row r="39" spans="1:16" ht="15">
      <c r="A39" s="2210" t="s">
        <v>1818</v>
      </c>
      <c r="B39" s="2244" t="s">
        <v>1802</v>
      </c>
      <c r="C39" s="2245" t="s">
        <v>1803</v>
      </c>
      <c r="D39" s="2245" t="s">
        <v>1819</v>
      </c>
      <c r="E39" s="2246" t="s">
        <v>1804</v>
      </c>
      <c r="F39" s="2240"/>
      <c r="G39" s="2206"/>
      <c r="H39" s="2206"/>
      <c r="I39" s="2206"/>
    </row>
    <row r="40" spans="1:16" ht="14.25">
      <c r="A40" s="2247" t="s">
        <v>1820</v>
      </c>
      <c r="B40" s="74"/>
      <c r="C40" s="75"/>
      <c r="D40" s="75"/>
      <c r="E40" s="76"/>
      <c r="F40" s="2240"/>
      <c r="G40" s="2206"/>
      <c r="H40" s="2206"/>
      <c r="I40" s="2206"/>
    </row>
    <row r="41" spans="1:16" ht="14.25">
      <c r="A41" s="2247" t="s">
        <v>1821</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1822</v>
      </c>
      <c r="B44" s="2253"/>
      <c r="C44" s="2253"/>
      <c r="D44" s="2254"/>
      <c r="E44" s="2254"/>
      <c r="F44" s="2255"/>
      <c r="G44" s="2255"/>
      <c r="H44" s="2255"/>
      <c r="I44" s="2255"/>
      <c r="J44" s="2256" t="s">
        <v>1823</v>
      </c>
      <c r="K44" s="2257"/>
      <c r="L44" s="2257"/>
      <c r="M44" s="2257"/>
      <c r="N44" s="2257"/>
      <c r="O44" s="2257"/>
      <c r="P44" s="1845"/>
    </row>
    <row r="45" spans="1:16" ht="14.25" customHeight="1" thickBot="1">
      <c r="A45" s="2888" t="s">
        <v>1824</v>
      </c>
      <c r="B45" s="2889"/>
      <c r="C45" s="2890"/>
      <c r="D45" s="80">
        <f ca="1">ROUND(I102*F45,0)</f>
        <v>17243182</v>
      </c>
      <c r="E45" s="81" t="s">
        <v>1825</v>
      </c>
      <c r="F45" s="82">
        <v>1</v>
      </c>
      <c r="G45" s="83" t="s">
        <v>1826</v>
      </c>
      <c r="H45" s="2196"/>
      <c r="I45" s="2196"/>
      <c r="J45" s="2950" t="s">
        <v>1827</v>
      </c>
      <c r="K45" s="2950"/>
      <c r="L45" s="2950"/>
      <c r="M45" s="2950"/>
      <c r="N45" s="2950"/>
      <c r="O45" s="2950"/>
      <c r="P45" s="1845"/>
    </row>
    <row r="46" spans="1:16" ht="14.25" customHeight="1">
      <c r="A46" s="2873" t="s">
        <v>1828</v>
      </c>
      <c r="B46" s="2874"/>
      <c r="C46" s="2874"/>
      <c r="D46" s="2874"/>
      <c r="E46" s="2874"/>
      <c r="F46" s="2874"/>
      <c r="G46" s="2875"/>
      <c r="H46" s="2258"/>
      <c r="I46" s="1144"/>
      <c r="J46" s="1883">
        <v>1</v>
      </c>
      <c r="K46" s="2950" t="s">
        <v>1829</v>
      </c>
      <c r="L46" s="2950"/>
      <c r="M46" s="2951" t="str">
        <f>项目基本情况!B1</f>
        <v>北京市预评估</v>
      </c>
      <c r="N46" s="2951"/>
      <c r="O46" s="2951"/>
      <c r="P46" s="1845"/>
    </row>
    <row r="47" spans="1:16" ht="12" customHeight="1">
      <c r="A47" s="85" t="s">
        <v>1830</v>
      </c>
      <c r="B47" s="86"/>
      <c r="C47" s="87"/>
      <c r="D47" s="88" t="s">
        <v>1831</v>
      </c>
      <c r="E47" s="14" t="s">
        <v>1832</v>
      </c>
      <c r="F47" s="89" t="s">
        <v>1833</v>
      </c>
      <c r="G47" s="90" t="s">
        <v>1834</v>
      </c>
      <c r="H47" s="2258"/>
      <c r="I47" s="1144"/>
      <c r="J47" s="1883">
        <v>2</v>
      </c>
      <c r="K47" s="2950" t="s">
        <v>1835</v>
      </c>
      <c r="L47" s="2950"/>
      <c r="M47" s="2952">
        <f>'数据-取费表'!B2</f>
        <v>42961</v>
      </c>
      <c r="N47" s="2952"/>
      <c r="O47" s="2952"/>
      <c r="P47" s="1845"/>
    </row>
    <row r="48" spans="1:16" ht="25.5">
      <c r="A48" s="2885" t="s">
        <v>1836</v>
      </c>
      <c r="B48" s="2886"/>
      <c r="C48" s="2886"/>
      <c r="D48" s="56">
        <f ca="1">IF(H48="情况1",0,IF(H48="情况2",D52,IF(H48="情况3",D53,IF(H48="情况4",D54))))</f>
        <v>919636</v>
      </c>
      <c r="E48" s="1893" t="str">
        <f>IF(H48="情况4","(销售额-原购置价)×税（费）率","销售额×税（费）率")</f>
        <v>销售额×税（费）率</v>
      </c>
      <c r="F48" s="91">
        <f>IF(H48="情况1","免征",'数据-取费表'!E29)</f>
        <v>5.6000000000000001E-2</v>
      </c>
      <c r="G48" s="2259" t="s">
        <v>1837</v>
      </c>
      <c r="H48" s="2260" t="s">
        <v>1838</v>
      </c>
      <c r="I48" s="2258"/>
      <c r="J48" s="1883">
        <v>3</v>
      </c>
      <c r="K48" s="2950" t="s">
        <v>1839</v>
      </c>
      <c r="L48" s="2950"/>
      <c r="M48" s="2951">
        <f ca="1">I102</f>
        <v>17243182</v>
      </c>
      <c r="N48" s="2951"/>
      <c r="O48" s="2951"/>
      <c r="P48" s="1845"/>
    </row>
    <row r="49" spans="1:16" ht="25.5" customHeight="1">
      <c r="A49" s="92" t="s">
        <v>1840</v>
      </c>
      <c r="B49" s="2878" t="s">
        <v>1841</v>
      </c>
      <c r="C49" s="2878"/>
      <c r="D49" s="93">
        <v>0</v>
      </c>
      <c r="E49" s="13" t="s">
        <v>1842</v>
      </c>
      <c r="F49" s="18" t="s">
        <v>48</v>
      </c>
      <c r="G49" s="2943"/>
      <c r="H49" s="2196"/>
      <c r="I49" s="2261"/>
      <c r="J49" s="1883">
        <v>4</v>
      </c>
      <c r="K49" s="2950" t="str">
        <f>IF(项目基本情况!F5="房地产抵押价值","房地产抵押价值","抵押担保权已注销时的房地产抵押价值")</f>
        <v>抵押担保权已注销时的房地产抵押价值</v>
      </c>
      <c r="L49" s="2950"/>
      <c r="M49" s="2951" t="str">
        <f>IF(项目基本情况!F5="房地产抵押价值",I110,I112)</f>
        <v>——</v>
      </c>
      <c r="N49" s="2951"/>
      <c r="O49" s="2951"/>
      <c r="P49" s="1845"/>
    </row>
    <row r="50" spans="1:16" ht="25.5" customHeight="1">
      <c r="A50" s="94"/>
      <c r="B50" s="2878" t="s">
        <v>1843</v>
      </c>
      <c r="C50" s="2878"/>
      <c r="D50" s="95"/>
      <c r="E50" s="21"/>
      <c r="F50" s="96"/>
      <c r="G50" s="2944"/>
      <c r="H50" s="2196"/>
      <c r="I50" s="2261"/>
      <c r="J50" s="2950" t="s">
        <v>1844</v>
      </c>
      <c r="K50" s="2950"/>
      <c r="L50" s="2950"/>
      <c r="M50" s="2950"/>
      <c r="N50" s="2950"/>
      <c r="O50" s="2950"/>
      <c r="P50" s="1845"/>
    </row>
    <row r="51" spans="1:16" ht="12" customHeight="1">
      <c r="A51" s="97"/>
      <c r="B51" s="2878" t="s">
        <v>1845</v>
      </c>
      <c r="C51" s="2878"/>
      <c r="D51" s="98"/>
      <c r="E51" s="20"/>
      <c r="F51" s="96"/>
      <c r="G51" s="2945"/>
      <c r="H51" s="2196"/>
      <c r="I51" s="2261"/>
      <c r="J51" s="2262" t="s">
        <v>1846</v>
      </c>
      <c r="K51" s="2950" t="s">
        <v>1847</v>
      </c>
      <c r="L51" s="2950"/>
      <c r="M51" s="2262" t="s">
        <v>1848</v>
      </c>
      <c r="N51" s="2262" t="s">
        <v>1849</v>
      </c>
      <c r="O51" s="2262" t="s">
        <v>1850</v>
      </c>
      <c r="P51" s="1845"/>
    </row>
    <row r="52" spans="1:16" ht="24" customHeight="1">
      <c r="A52" s="99" t="s">
        <v>1851</v>
      </c>
      <c r="B52" s="2878" t="s">
        <v>1852</v>
      </c>
      <c r="C52" s="2878"/>
      <c r="D52" s="98">
        <f ca="1">ROUND(D45*'数据-取费表'!E29/(1+'数据-取费表'!F30),0)</f>
        <v>919636</v>
      </c>
      <c r="E52" s="10" t="s">
        <v>1853</v>
      </c>
      <c r="F52" s="100">
        <f>'数据-取费表'!E29</f>
        <v>5.6000000000000001E-2</v>
      </c>
      <c r="G52" s="2263"/>
      <c r="H52" s="2196"/>
      <c r="I52" s="2261"/>
      <c r="J52" s="1883">
        <v>1</v>
      </c>
      <c r="K52" s="2910" t="s">
        <v>1854</v>
      </c>
      <c r="L52" s="2910"/>
      <c r="M52" s="778">
        <f ca="1">D48</f>
        <v>919636</v>
      </c>
      <c r="N52" s="1883" t="str">
        <f>E48</f>
        <v>销售额×税（费）率</v>
      </c>
      <c r="O52" s="779">
        <f>F48</f>
        <v>5.6000000000000001E-2</v>
      </c>
      <c r="P52" s="1845"/>
    </row>
    <row r="53" spans="1:16" ht="12" customHeight="1">
      <c r="A53" s="99" t="s">
        <v>1855</v>
      </c>
      <c r="B53" s="2879" t="s">
        <v>1856</v>
      </c>
      <c r="C53" s="2809"/>
      <c r="D53" s="98">
        <f ca="1">ROUND(D45*'数据-取费表'!E29/(1+'数据-取费表'!F30),0)</f>
        <v>919636</v>
      </c>
      <c r="E53" s="10" t="s">
        <v>1853</v>
      </c>
      <c r="F53" s="100">
        <f>'数据-取费表'!E29</f>
        <v>5.6000000000000001E-2</v>
      </c>
      <c r="G53" s="2263"/>
      <c r="H53" s="2196"/>
      <c r="I53" s="2261"/>
      <c r="J53" s="1883">
        <v>2</v>
      </c>
      <c r="K53" s="2910" t="s">
        <v>1857</v>
      </c>
      <c r="L53" s="2910"/>
      <c r="M53" s="778">
        <f t="shared" ref="M53:O54" ca="1" si="1">D55</f>
        <v>8622</v>
      </c>
      <c r="N53" s="1883" t="str">
        <f t="shared" si="1"/>
        <v>销售额×税（费）率</v>
      </c>
      <c r="O53" s="779">
        <f t="shared" si="1"/>
        <v>5.0000000000000001E-4</v>
      </c>
      <c r="P53" s="1845"/>
    </row>
    <row r="54" spans="1:16" ht="12" customHeight="1">
      <c r="A54" s="99" t="s">
        <v>1858</v>
      </c>
      <c r="B54" s="2879" t="s">
        <v>1859</v>
      </c>
      <c r="C54" s="2809"/>
      <c r="D54" s="98">
        <f ca="1">C68</f>
        <v>919636</v>
      </c>
      <c r="E54" s="20" t="s">
        <v>1860</v>
      </c>
      <c r="F54" s="100">
        <f>'数据-取费表'!E29</f>
        <v>5.6000000000000001E-2</v>
      </c>
      <c r="G54" s="2263"/>
      <c r="H54" s="2264"/>
      <c r="I54" s="2261"/>
      <c r="J54" s="1883">
        <v>3</v>
      </c>
      <c r="K54" s="2910" t="s">
        <v>1861</v>
      </c>
      <c r="L54" s="2910"/>
      <c r="M54" s="778">
        <f t="shared" ca="1" si="1"/>
        <v>9759641</v>
      </c>
      <c r="N54" s="1883" t="str">
        <f t="shared" si="1"/>
        <v>增值额×税（费）率</v>
      </c>
      <c r="O54" s="780" t="str">
        <f t="shared" si="1"/>
        <v>——</v>
      </c>
      <c r="P54" s="1845"/>
    </row>
    <row r="55" spans="1:16" ht="24" customHeight="1">
      <c r="A55" s="2801" t="s">
        <v>1862</v>
      </c>
      <c r="B55" s="2886"/>
      <c r="C55" s="2886"/>
      <c r="D55" s="101">
        <f ca="1">IF(H55="个人住宅",0,ROUND(D45*I55,0))</f>
        <v>8622</v>
      </c>
      <c r="E55" s="10" t="s">
        <v>1863</v>
      </c>
      <c r="F55" s="100">
        <f>IF(H55="正常",I55,"免征")</f>
        <v>5.0000000000000001E-4</v>
      </c>
      <c r="G55" s="2263"/>
      <c r="H55" s="2260" t="s">
        <v>1864</v>
      </c>
      <c r="I55" s="102">
        <f>'数据-取费表'!E37</f>
        <v>5.0000000000000001E-4</v>
      </c>
      <c r="J55" s="1883">
        <f>IF(H59="非个人房产","",4)</f>
        <v>4</v>
      </c>
      <c r="K55" s="2910" t="str">
        <f>IF(H59="非个人房产","——","个人所得税")</f>
        <v>个人所得税</v>
      </c>
      <c r="L55" s="2910"/>
      <c r="M55" s="781">
        <f ca="1">D59</f>
        <v>172432</v>
      </c>
      <c r="N55" s="1886" t="str">
        <f>E59</f>
        <v>销售额×税（费）率</v>
      </c>
      <c r="O55" s="782">
        <f>F59</f>
        <v>0.01</v>
      </c>
      <c r="P55" s="1845"/>
    </row>
    <row r="56" spans="1:16" ht="24.75">
      <c r="A56" s="2801" t="s">
        <v>1865</v>
      </c>
      <c r="B56" s="2886"/>
      <c r="C56" s="2886"/>
      <c r="D56" s="101">
        <f ca="1">IF(H56="个人住宅",D57,D58)</f>
        <v>9759641</v>
      </c>
      <c r="E56" s="10" t="s">
        <v>1866</v>
      </c>
      <c r="F56" s="100" t="str">
        <f>IF(H56="正常",F58,"免征")</f>
        <v>——</v>
      </c>
      <c r="G56" s="2265" t="s">
        <v>1867</v>
      </c>
      <c r="H56" s="2266" t="s">
        <v>1864</v>
      </c>
      <c r="I56" s="1022"/>
      <c r="J56" s="1883" t="str">
        <f>IF(项目基本情况!I6="上海银行",IF(J55="",4,J55+1),"")</f>
        <v/>
      </c>
      <c r="K56" s="2928" t="str">
        <f>IF(项目基本情况!I6="上海银行","其他处置费用","")</f>
        <v/>
      </c>
      <c r="L56" s="2929"/>
      <c r="M56" s="778" t="str">
        <f>IF(项目基本情况!I6="上海银行",M69,"")</f>
        <v/>
      </c>
      <c r="N56" s="2941" t="str">
        <f>IF(项目基本情况!I6="上海银行","包含处置中涉及的律师、诉讼、拍卖、评估等费用","")</f>
        <v/>
      </c>
      <c r="O56" s="2942"/>
      <c r="P56" s="1845"/>
    </row>
    <row r="57" spans="1:16" ht="12.75">
      <c r="A57" s="99" t="s">
        <v>1840</v>
      </c>
      <c r="B57" s="2876" t="s">
        <v>1868</v>
      </c>
      <c r="C57" s="2887"/>
      <c r="D57" s="103">
        <v>0</v>
      </c>
      <c r="E57" s="13" t="s">
        <v>1842</v>
      </c>
      <c r="F57" s="70"/>
      <c r="G57" s="2263"/>
      <c r="H57" s="1022"/>
      <c r="I57" s="1022"/>
      <c r="J57" s="2910">
        <f>IF(AND(J55="",J56=""),4,IF(项目基本情况!I6="上海银行",J56+1,J55+1))</f>
        <v>5</v>
      </c>
      <c r="K57" s="2910" t="s">
        <v>1869</v>
      </c>
      <c r="L57" s="2267" t="s">
        <v>1870</v>
      </c>
      <c r="M57" s="783"/>
      <c r="N57" s="784">
        <f ca="1">SUMIF(M52:M56,"&lt;9e307")</f>
        <v>10860331</v>
      </c>
      <c r="O57" s="2268"/>
      <c r="P57" s="1841" t="e">
        <f ca="1">N57/M49</f>
        <v>#VALUE!</v>
      </c>
    </row>
    <row r="58" spans="1:16" ht="24.75">
      <c r="A58" s="99" t="s">
        <v>1851</v>
      </c>
      <c r="B58" s="2876" t="s">
        <v>1871</v>
      </c>
      <c r="C58" s="2877"/>
      <c r="D58" s="101">
        <f ca="1">IF(H58="转让取得",C81,C97)</f>
        <v>9759641</v>
      </c>
      <c r="E58" s="10" t="s">
        <v>1866</v>
      </c>
      <c r="F58" s="14" t="s">
        <v>48</v>
      </c>
      <c r="G58" s="2263"/>
      <c r="H58" s="2266" t="s">
        <v>1872</v>
      </c>
      <c r="I58" s="1022"/>
      <c r="J58" s="2910"/>
      <c r="K58" s="2910"/>
      <c r="L58" s="2267" t="s">
        <v>1873</v>
      </c>
      <c r="M58" s="785"/>
      <c r="N58" s="2269" t="str">
        <f ca="1">IF(H19="元",NUMBERSTRING(INT(N57),2)&amp;"元整",NUMBERSTRING(INT(N57*10000),2)&amp;"元整")</f>
        <v>壹仟零捌拾陆万零叁佰叁拾壹元整</v>
      </c>
      <c r="O58" s="2270"/>
      <c r="P58" s="1845"/>
    </row>
    <row r="59" spans="1:16" ht="26.25" thickBot="1">
      <c r="A59" s="2802" t="s">
        <v>1874</v>
      </c>
      <c r="B59" s="2805"/>
      <c r="C59" s="2805"/>
      <c r="D59" s="104">
        <f ca="1">IF(H59="非个人房产","——",IF(H59="个人住宅",0,ROUND(D45*I59,0)))</f>
        <v>172432</v>
      </c>
      <c r="E59" s="105" t="str">
        <f>IF(H59="非个人房产","——","销售额×税（费）率")</f>
        <v>销售额×税（费）率</v>
      </c>
      <c r="F59" s="106">
        <f>IF(H59="非个人房产","——",IF(H59="个人住宅","免征",I59))</f>
        <v>0.01</v>
      </c>
      <c r="G59" s="2271" t="s">
        <v>1867</v>
      </c>
      <c r="H59" s="2266" t="s">
        <v>1875</v>
      </c>
      <c r="I59" s="107">
        <v>0.01</v>
      </c>
      <c r="J59" s="2908">
        <f>J57+1</f>
        <v>6</v>
      </c>
      <c r="K59" s="2910" t="s">
        <v>1876</v>
      </c>
      <c r="L59" s="1883" t="s">
        <v>1870</v>
      </c>
      <c r="M59" s="786"/>
      <c r="N59" s="787" t="e">
        <f ca="1">M49-N57</f>
        <v>#VALUE!</v>
      </c>
      <c r="O59" s="2272"/>
      <c r="P59" s="1845"/>
    </row>
    <row r="60" spans="1:16" ht="12" customHeight="1">
      <c r="A60" s="2068"/>
      <c r="B60" s="2196"/>
      <c r="C60" s="2196"/>
      <c r="D60" s="2196"/>
      <c r="E60" s="1022"/>
      <c r="F60" s="1022"/>
      <c r="G60" s="1022"/>
      <c r="H60" s="2249"/>
      <c r="I60" s="2196"/>
      <c r="J60" s="2909"/>
      <c r="K60" s="2910"/>
      <c r="L60" s="2267" t="s">
        <v>1873</v>
      </c>
      <c r="M60" s="785"/>
      <c r="N60" s="2269" t="e">
        <f ca="1">IF(H19="元",NUMBERSTRING(INT(N59),2)&amp;"元整",NUMBERSTRING(INT(N59*10000),2)&amp;"元整")</f>
        <v>#VALUE!</v>
      </c>
      <c r="O60" s="2270"/>
      <c r="P60" s="1845"/>
    </row>
    <row r="61" spans="1:16" ht="13.5" thickBot="1">
      <c r="A61" s="2891" t="s">
        <v>1877</v>
      </c>
      <c r="B61" s="2891"/>
      <c r="C61" s="2891"/>
      <c r="D61" s="2891"/>
      <c r="E61" s="2891"/>
      <c r="F61" s="1022"/>
      <c r="G61" s="1022"/>
      <c r="H61" s="2249"/>
      <c r="I61" s="2196"/>
      <c r="J61" s="1883">
        <f>J59+1</f>
        <v>7</v>
      </c>
      <c r="K61" s="2910" t="s">
        <v>1878</v>
      </c>
      <c r="L61" s="2910"/>
      <c r="M61" s="788"/>
      <c r="N61" s="789" t="e">
        <f ca="1">IF(H19="元",ROUND(N59/项目基本情况!C12,0),ROUND(N59*10000/项目基本情况!C12,0))</f>
        <v>#VALUE!</v>
      </c>
      <c r="O61" s="2273"/>
      <c r="P61" s="1845"/>
    </row>
    <row r="62" spans="1:16" ht="12.75">
      <c r="A62" s="2898" t="s">
        <v>1879</v>
      </c>
      <c r="B62" s="2899"/>
      <c r="C62" s="1885"/>
      <c r="D62" s="1885" t="s">
        <v>1880</v>
      </c>
      <c r="E62" s="108" t="s">
        <v>1881</v>
      </c>
      <c r="F62" s="1022"/>
      <c r="G62" s="1022"/>
      <c r="H62" s="2249"/>
      <c r="I62" s="2196"/>
      <c r="J62" s="1845"/>
      <c r="K62" s="1845"/>
      <c r="L62" s="1845"/>
      <c r="M62" s="1845"/>
      <c r="N62" s="1845"/>
      <c r="O62" s="1845"/>
      <c r="P62" s="1845"/>
    </row>
    <row r="63" spans="1:16" ht="12.75">
      <c r="A63" s="109">
        <v>1</v>
      </c>
      <c r="B63" s="110" t="s">
        <v>1882</v>
      </c>
      <c r="C63" s="111">
        <f ca="1">ROUND((C64+C65)/(1+'数据-取费表'!F30),0)</f>
        <v>16422078</v>
      </c>
      <c r="D63" s="112"/>
      <c r="E63" s="113"/>
      <c r="F63" s="1022"/>
      <c r="G63" s="1022"/>
      <c r="H63" s="2249"/>
      <c r="I63" s="2196"/>
      <c r="J63" s="2930" t="s">
        <v>1883</v>
      </c>
      <c r="K63" s="2274"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17243182</v>
      </c>
      <c r="D64" s="117" t="s">
        <v>41</v>
      </c>
      <c r="E64" s="118"/>
      <c r="F64" s="1022"/>
      <c r="G64" s="1022"/>
      <c r="H64" s="2249"/>
      <c r="I64" s="2196"/>
      <c r="J64" s="2930"/>
      <c r="K64" s="2274"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9"/>
      <c r="I65" s="2196"/>
      <c r="J65" s="2930"/>
      <c r="K65" s="2274"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9"/>
      <c r="I66" s="2196"/>
      <c r="J66" s="2930"/>
      <c r="K66" s="2274" t="s">
        <v>1892</v>
      </c>
      <c r="L66" s="1844" t="e">
        <f>M49*0.5%</f>
        <v>#VALUE!</v>
      </c>
      <c r="M66" s="14" t="e">
        <f>IF(L66&gt;0.5,0.5,ROUND(L66,0))</f>
        <v>#VALUE!</v>
      </c>
      <c r="N66" s="1845" t="s">
        <v>1893</v>
      </c>
      <c r="O66" s="1845"/>
      <c r="P66" s="1845"/>
    </row>
    <row r="67" spans="1:35" ht="12.75">
      <c r="A67" s="120" t="s">
        <v>42</v>
      </c>
      <c r="B67" s="121" t="s">
        <v>1894</v>
      </c>
      <c r="C67" s="124">
        <f ca="1">C63-C66</f>
        <v>16422078</v>
      </c>
      <c r="D67" s="117" t="s">
        <v>41</v>
      </c>
      <c r="E67" s="118"/>
      <c r="F67" s="1022"/>
      <c r="G67" s="1022"/>
      <c r="H67" s="2249"/>
      <c r="I67" s="2196"/>
      <c r="J67" s="2930"/>
      <c r="K67" s="2274"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919636</v>
      </c>
      <c r="D68" s="128">
        <f>'数据-取费表'!E29</f>
        <v>5.6000000000000001E-2</v>
      </c>
      <c r="E68" s="129"/>
      <c r="F68" s="1022"/>
      <c r="G68" s="1022"/>
      <c r="H68" s="2249"/>
      <c r="I68" s="2196"/>
      <c r="J68" s="2930"/>
      <c r="K68" s="2274" t="s">
        <v>1897</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930"/>
      <c r="K69" s="2274" t="s">
        <v>1898</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2" t="s">
        <v>1899</v>
      </c>
      <c r="B70" s="2903"/>
      <c r="C70" s="2903"/>
      <c r="D70" s="2903"/>
      <c r="E70" s="2903"/>
      <c r="F70" s="2903"/>
      <c r="G70" s="2903"/>
      <c r="H70" s="2903"/>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98" t="s">
        <v>1879</v>
      </c>
      <c r="B71" s="2899"/>
      <c r="C71" s="1885"/>
      <c r="D71" s="1885" t="s">
        <v>1880</v>
      </c>
      <c r="E71" s="130" t="s">
        <v>1881</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1900</v>
      </c>
      <c r="C72" s="124">
        <f ca="1">ROUND(D45/(1+'数据-取费表'!F30),0)</f>
        <v>16422078</v>
      </c>
      <c r="D72" s="117" t="s">
        <v>41</v>
      </c>
      <c r="E72" s="12" t="s">
        <v>1901</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1902</v>
      </c>
      <c r="C73" s="124">
        <f ca="1">C74+C78</f>
        <v>98532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1903</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1904</v>
      </c>
      <c r="C75" s="137"/>
      <c r="D75" s="117" t="s">
        <v>41</v>
      </c>
      <c r="E75" s="138" t="s">
        <v>1905</v>
      </c>
      <c r="F75" s="2285" t="s">
        <v>1906</v>
      </c>
      <c r="G75" s="138" t="s">
        <v>1907</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1908</v>
      </c>
      <c r="C76" s="117">
        <f>IF(F75="购房发票",ROUND(C75*H75*D76,0),0)</f>
        <v>0</v>
      </c>
      <c r="D76" s="141">
        <v>0.05</v>
      </c>
      <c r="E76" s="2879" t="s">
        <v>1909</v>
      </c>
      <c r="F76" s="2878"/>
      <c r="G76" s="2878"/>
      <c r="H76" s="2893"/>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6" t="s">
        <v>1912</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1913</v>
      </c>
      <c r="C78" s="144">
        <f ca="1">ROUND(D45*D78/(1+'数据-取费表'!F30),0)</f>
        <v>98532</v>
      </c>
      <c r="D78" s="145">
        <f>'数据-取费表'!E31</f>
        <v>6.000000000000001E-3</v>
      </c>
      <c r="E78" s="2870" t="s">
        <v>1914</v>
      </c>
      <c r="F78" s="2871"/>
      <c r="G78" s="2871"/>
      <c r="H78" s="287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1915</v>
      </c>
      <c r="C79" s="124">
        <f ca="1">C72-C73</f>
        <v>16323546</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1916</v>
      </c>
      <c r="C80" s="147">
        <f ca="1">IF(C79&lt;=0,0,C79/C73)</f>
        <v>165.6674582876629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1917</v>
      </c>
      <c r="C81" s="149">
        <f ca="1">ROUND(IF(C79&lt;=0,0,IF(C80&gt;=200%,C79*60%-C73*35%,IF(C80&gt;=100%,C79*50%-C73*15%,IF(C80&gt;=50%,C79*40%-C73*5%,IF(C80&lt;50%,C79*30%,0))))),0)</f>
        <v>9759641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2" t="s">
        <v>1918</v>
      </c>
      <c r="B83" s="2903"/>
      <c r="C83" s="2903"/>
      <c r="D83" s="2903"/>
      <c r="E83" s="2903"/>
      <c r="F83" s="2903"/>
      <c r="G83" s="2903"/>
      <c r="H83" s="2903"/>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98" t="s">
        <v>1879</v>
      </c>
      <c r="B84" s="2899"/>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1900</v>
      </c>
      <c r="C85" s="124">
        <f ca="1">ROUND(D45/(1+'数据-取费表'!F30),0)</f>
        <v>16422078</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1902</v>
      </c>
      <c r="C86" s="124">
        <f ca="1">IF(H88="仅含出让金",C87+C90+C91+C92+C93+C94,C87+C91+C92+C93+C94)</f>
        <v>98532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1920</v>
      </c>
      <c r="C88" s="157"/>
      <c r="D88" s="145"/>
      <c r="E88" s="158" t="s">
        <v>1921</v>
      </c>
      <c r="F88" s="1882"/>
      <c r="G88" s="159" t="s">
        <v>1922</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1925</v>
      </c>
      <c r="C91" s="144">
        <f>IF(H91="——",成本法!C33,I91)</f>
        <v>0</v>
      </c>
      <c r="D91" s="145"/>
      <c r="E91" s="2870" t="s">
        <v>1926</v>
      </c>
      <c r="F91" s="2871"/>
      <c r="G91" s="2871"/>
      <c r="H91" s="2289" t="s">
        <v>1927</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1928</v>
      </c>
      <c r="C92" s="144">
        <f>ROUND((C87+C90+C91)*D92,0)</f>
        <v>0</v>
      </c>
      <c r="D92" s="145">
        <v>0.1</v>
      </c>
      <c r="E92" s="2870" t="s">
        <v>1929</v>
      </c>
      <c r="F92" s="2871"/>
      <c r="G92" s="2871"/>
      <c r="H92" s="287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1913</v>
      </c>
      <c r="C93" s="144">
        <f ca="1">ROUND(D45*D93/(1+'数据-取费表'!F30),0)</f>
        <v>98532</v>
      </c>
      <c r="D93" s="145">
        <f>'数据-取费表'!E31</f>
        <v>6.000000000000001E-3</v>
      </c>
      <c r="E93" s="2870" t="s">
        <v>1914</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1930</v>
      </c>
      <c r="C94" s="144">
        <f>ROUND((C87+C90+C91)*D94,0)</f>
        <v>0</v>
      </c>
      <c r="D94" s="145">
        <v>0.2</v>
      </c>
      <c r="E94" s="2870" t="s">
        <v>1931</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1915</v>
      </c>
      <c r="C95" s="124">
        <f ca="1">ROUND(C85-C86,0)</f>
        <v>16323546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1916</v>
      </c>
      <c r="C96" s="147">
        <f ca="1">IF(C95&lt;=0,0,C95/C86)</f>
        <v>165.6674582876629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1917</v>
      </c>
      <c r="C97" s="149">
        <f ca="1">ROUND(IF(C95&lt;=0,0,IF(C96&gt;=200%,C95*60%-C86*35%,IF(C96&gt;=100%,C95*50%-C86*15%,IF(C96&gt;=50%,C95*40%-C86*5%,IF(C96&lt;50%,C95*30%,0))))),0)</f>
        <v>9759641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1932</v>
      </c>
      <c r="B98" s="2196"/>
      <c r="C98" s="2196"/>
      <c r="D98" s="2196"/>
      <c r="E98" s="1022"/>
      <c r="F98" s="1022"/>
      <c r="G98" s="1022"/>
      <c r="H98" s="2249"/>
      <c r="I98" s="2196"/>
    </row>
    <row r="99" spans="1:35" ht="15.75">
      <c r="A99" s="2925" t="s">
        <v>1933</v>
      </c>
      <c r="B99" s="2926"/>
      <c r="C99" s="2926"/>
      <c r="D99" s="2927"/>
      <c r="E99" s="2196"/>
      <c r="F99" s="2936" t="s">
        <v>1934</v>
      </c>
      <c r="G99" s="2937"/>
      <c r="H99" s="2937"/>
      <c r="I99" s="2938"/>
    </row>
    <row r="100" spans="1:35" ht="15.75">
      <c r="A100" s="2939" t="s">
        <v>1935</v>
      </c>
      <c r="B100" s="2940"/>
      <c r="C100" s="720" t="str">
        <f>C4</f>
        <v>收益法</v>
      </c>
      <c r="D100" s="721" t="str">
        <f>D4</f>
        <v>成本法</v>
      </c>
      <c r="E100" s="2196"/>
      <c r="F100" s="2835" t="s">
        <v>1936</v>
      </c>
      <c r="G100" s="2836"/>
      <c r="H100" s="2835" t="s">
        <v>1937</v>
      </c>
      <c r="I100" s="2834"/>
    </row>
    <row r="101" spans="1:35" ht="15.75">
      <c r="A101" s="2917" t="s">
        <v>1938</v>
      </c>
      <c r="B101" s="2291" t="str">
        <f>IF(H19="元","总价（元）","总价（万元）")</f>
        <v>总价（元）</v>
      </c>
      <c r="C101" s="720">
        <f ca="1">C19</f>
        <v>15827767</v>
      </c>
      <c r="D101" s="721">
        <f ca="1">D19</f>
        <v>22904841</v>
      </c>
      <c r="E101" s="2196"/>
      <c r="F101" s="2835" t="str">
        <f>项目基本情况!I1</f>
        <v>北京市房地产</v>
      </c>
      <c r="G101" s="2836"/>
      <c r="H101" s="2833">
        <f>项目基本情况!C12</f>
        <v>689.57</v>
      </c>
      <c r="I101" s="2834"/>
    </row>
    <row r="102" spans="1:35" ht="15.75">
      <c r="A102" s="2917"/>
      <c r="B102" s="2291" t="s">
        <v>1939</v>
      </c>
      <c r="C102" s="722">
        <f ca="1">C20</f>
        <v>22953</v>
      </c>
      <c r="D102" s="723">
        <f ca="1">D20</f>
        <v>33216</v>
      </c>
      <c r="E102" s="2196"/>
      <c r="F102" s="2862" t="s">
        <v>1940</v>
      </c>
      <c r="G102" s="2863"/>
      <c r="H102" s="2292" t="str">
        <f>C106</f>
        <v>总价（元）</v>
      </c>
      <c r="I102" s="1862">
        <f ca="1">H121</f>
        <v>17243182</v>
      </c>
    </row>
    <row r="103" spans="1:35" ht="15">
      <c r="A103" s="2917" t="s">
        <v>1941</v>
      </c>
      <c r="B103" s="2293" t="str">
        <f>B101</f>
        <v>总价（元）</v>
      </c>
      <c r="C103" s="724">
        <f ca="1">H121</f>
        <v>17243182</v>
      </c>
      <c r="D103" s="725"/>
      <c r="E103" s="2196"/>
      <c r="F103" s="2862"/>
      <c r="G103" s="2863"/>
      <c r="H103" s="2292" t="s">
        <v>1939</v>
      </c>
      <c r="I103" s="1050">
        <f ca="1">I121</f>
        <v>25006</v>
      </c>
    </row>
    <row r="104" spans="1:35" ht="16.5" thickBot="1">
      <c r="A104" s="2918"/>
      <c r="B104" s="2294" t="s">
        <v>1939</v>
      </c>
      <c r="C104" s="726">
        <f ca="1">I121</f>
        <v>25006</v>
      </c>
      <c r="D104" s="727"/>
      <c r="E104" s="2196"/>
      <c r="F104" s="2934"/>
      <c r="G104" s="2935"/>
      <c r="H104" s="2919"/>
      <c r="I104" s="2920"/>
    </row>
    <row r="105" spans="1:35" ht="15.75">
      <c r="A105" s="2925" t="s">
        <v>1942</v>
      </c>
      <c r="B105" s="2926"/>
      <c r="C105" s="2926"/>
      <c r="D105" s="2927"/>
      <c r="E105" s="2196"/>
      <c r="F105" s="2923" t="s">
        <v>1943</v>
      </c>
      <c r="G105" s="2924"/>
      <c r="H105" s="2295" t="str">
        <f>C108</f>
        <v>总额（元）</v>
      </c>
      <c r="I105" s="1862">
        <f>SUMIF(I106:I108,"&lt;9E307")</f>
        <v>0</v>
      </c>
    </row>
    <row r="106" spans="1:35" ht="15">
      <c r="A106" s="2849" t="s">
        <v>1944</v>
      </c>
      <c r="B106" s="2850"/>
      <c r="C106" s="2292" t="str">
        <f>B101</f>
        <v>总价（元）</v>
      </c>
      <c r="D106" s="1051">
        <f ca="1">H121</f>
        <v>17243182</v>
      </c>
      <c r="E106" s="2196"/>
      <c r="F106" s="2851" t="s">
        <v>1945</v>
      </c>
      <c r="G106" s="2852"/>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9"/>
      <c r="B107" s="2850"/>
      <c r="C107" s="2292" t="s">
        <v>1939</v>
      </c>
      <c r="D107" s="1052">
        <f ca="1">I121</f>
        <v>25006</v>
      </c>
      <c r="E107" s="2196"/>
      <c r="F107" s="2851" t="s">
        <v>1946</v>
      </c>
      <c r="G107" s="2852"/>
      <c r="H107" s="2295" t="str">
        <f>C110</f>
        <v>总额（元）</v>
      </c>
      <c r="I107" s="1050">
        <f>C37</f>
        <v>0</v>
      </c>
      <c r="K107" s="2296"/>
    </row>
    <row r="108" spans="1:35" ht="15">
      <c r="A108" s="2856" t="s">
        <v>1947</v>
      </c>
      <c r="B108" s="2857"/>
      <c r="C108" s="2295" t="str">
        <f>IF(H19="元","总额（元）","总额（万元）")</f>
        <v>总额（元）</v>
      </c>
      <c r="D108" s="1051">
        <f>IF(D36="正常操作",I106+I107+I108,I107+I108)</f>
        <v>0</v>
      </c>
      <c r="E108" s="2196"/>
      <c r="F108" s="2851" t="s">
        <v>1948</v>
      </c>
      <c r="G108" s="2852"/>
      <c r="H108" s="2295" t="str">
        <f>C111</f>
        <v>总额（元）</v>
      </c>
      <c r="I108" s="1050">
        <f>C38</f>
        <v>0</v>
      </c>
    </row>
    <row r="109" spans="1:35" ht="15.75">
      <c r="A109" s="2851" t="s">
        <v>1945</v>
      </c>
      <c r="B109" s="2852"/>
      <c r="C109" s="2295" t="str">
        <f>C108</f>
        <v>总额（元）</v>
      </c>
      <c r="D109" s="637">
        <f>IF(D36="同一抵押权人同一抵押物续贷",C36&amp;"（未扣减，详见特别提示）",C36)</f>
        <v>0</v>
      </c>
      <c r="E109" s="2196"/>
      <c r="F109" s="2934"/>
      <c r="G109" s="2935"/>
      <c r="H109" s="2921"/>
      <c r="I109" s="2922"/>
    </row>
    <row r="110" spans="1:35" ht="28.5" customHeight="1">
      <c r="A110" s="2851" t="s">
        <v>1946</v>
      </c>
      <c r="B110" s="2852"/>
      <c r="C110" s="2295" t="str">
        <f>C108</f>
        <v>总额（元）</v>
      </c>
      <c r="D110" s="637">
        <f>C37</f>
        <v>0</v>
      </c>
      <c r="E110" s="2196"/>
      <c r="F110" s="2837" t="str">
        <f>IF(项目基本情况!F5="已注销","——","3.房地产抵押价值")</f>
        <v>3.房地产抵押价值</v>
      </c>
      <c r="G110" s="2838"/>
      <c r="H110" s="2297" t="str">
        <f>C112</f>
        <v>总价（元）</v>
      </c>
      <c r="I110" s="1863">
        <f ca="1">IF(F110="——","——",I102-I105)</f>
        <v>17243182</v>
      </c>
    </row>
    <row r="111" spans="1:35" ht="15">
      <c r="A111" s="2851" t="s">
        <v>1948</v>
      </c>
      <c r="B111" s="2852"/>
      <c r="C111" s="2295" t="str">
        <f>C108</f>
        <v>总额（元）</v>
      </c>
      <c r="D111" s="637">
        <f>C38</f>
        <v>0</v>
      </c>
      <c r="E111" s="2196"/>
      <c r="F111" s="2953"/>
      <c r="G111" s="2954"/>
      <c r="H111" s="2292" t="s">
        <v>1939</v>
      </c>
      <c r="I111" s="2298">
        <f ca="1">D113</f>
        <v>25006</v>
      </c>
    </row>
    <row r="112" spans="1:35" ht="26.25" customHeight="1">
      <c r="A112" s="2849" t="str">
        <f>IF(项目基本情况!F5="已注销","——","3.房地产抵押价值")</f>
        <v>3.房地产抵押价值</v>
      </c>
      <c r="B112" s="2850"/>
      <c r="C112" s="2292" t="str">
        <f>B101</f>
        <v>总价（元）</v>
      </c>
      <c r="D112" s="1051">
        <f ca="1">IF(A112="——","——",D106-D108)</f>
        <v>17243182</v>
      </c>
      <c r="E112" s="2196"/>
      <c r="F112" s="2837" t="str">
        <f>IF(项目基本情况!F5="已注销及未注销","4.抵押担保权已注销时的房地产抵押价值",IF(项目基本情况!F5="已注销","3.抵押担保权已注销时的房地产抵押价值","——"))</f>
        <v>——</v>
      </c>
      <c r="G112" s="2838"/>
      <c r="H112" s="2297" t="str">
        <f>C114</f>
        <v>总价（元）</v>
      </c>
      <c r="I112" s="1863" t="str">
        <f>IF(F112="——","——",I102-I107-I108)</f>
        <v>——</v>
      </c>
    </row>
    <row r="113" spans="1:15" ht="15">
      <c r="A113" s="2849"/>
      <c r="B113" s="2850"/>
      <c r="C113" s="2292" t="s">
        <v>1939</v>
      </c>
      <c r="D113" s="1052">
        <f ca="1">ROUND(IF(D112=D106,D107,IF(H19="元",D112/项目基本情况!C12,D112*10000/项目基本情况!C12)),0)</f>
        <v>25006</v>
      </c>
      <c r="E113" s="2196"/>
      <c r="F113" s="2953"/>
      <c r="G113" s="2954"/>
      <c r="H113" s="2292" t="s">
        <v>1939</v>
      </c>
      <c r="I113" s="2299" t="str">
        <f>D115</f>
        <v>——</v>
      </c>
    </row>
    <row r="114" spans="1:15" ht="15.75">
      <c r="A114" s="2849" t="str">
        <f>IF(项目基本情况!F5="已注销及未注销","4.抵押担保权已注销时的房地产抵押价值",IF(项目基本情况!F5="已注销","3.抵押担保权已注销时的房地产抵押价值","——"))</f>
        <v>——</v>
      </c>
      <c r="B114" s="2850"/>
      <c r="C114" s="2292" t="str">
        <f>B101</f>
        <v>总价（元）</v>
      </c>
      <c r="D114" s="1051" t="str">
        <f>IF(A114="——","——",D106-D110-D111)</f>
        <v>——</v>
      </c>
      <c r="E114" s="2196"/>
      <c r="F114" s="2837" t="str">
        <f>IF(项目基本情况!G5="抵押净值",IF(OR(项目基本情况!F5="已注销",项目基本情况!F5="房地产抵押价值"),"4.抵押净值","5.抵押净值"),"——")</f>
        <v>——</v>
      </c>
      <c r="G114" s="2838"/>
      <c r="H114" s="2292" t="str">
        <f>C116</f>
        <v>总价（元）</v>
      </c>
      <c r="I114" s="1862" t="str">
        <f>IF(F114="——","——",N59)</f>
        <v>——</v>
      </c>
    </row>
    <row r="115" spans="1:15" ht="15.75" thickBot="1">
      <c r="A115" s="2849"/>
      <c r="B115" s="2850"/>
      <c r="C115" s="2292" t="s">
        <v>1939</v>
      </c>
      <c r="D115" s="1052" t="str">
        <f>IF(A114="——","——",ROUND(IF(D114=D106,D107,IF(H19="元",D114/项目基本情况!C12,D114*10000/项目基本情况!C12)),0))</f>
        <v>——</v>
      </c>
      <c r="E115" s="2196"/>
      <c r="F115" s="2839"/>
      <c r="G115" s="2840"/>
      <c r="H115" s="2300" t="s">
        <v>1939</v>
      </c>
      <c r="I115" s="1864" t="str">
        <f ca="1">D117</f>
        <v>——</v>
      </c>
    </row>
    <row r="116" spans="1:15" ht="15.75">
      <c r="A116" s="2849" t="str">
        <f>IF(项目基本情况!G5="抵押净值",IF(OR(项目基本情况!F5="已注销",项目基本情况!F5="房地产抵押价值"),"4.抵押净值","5.抵押净值"),"——")</f>
        <v>——</v>
      </c>
      <c r="B116" s="2850"/>
      <c r="C116" s="2292" t="str">
        <f>B101</f>
        <v>总价（元）</v>
      </c>
      <c r="D116" s="1051" t="str">
        <f>IF(A116="——","——",N59)</f>
        <v>——</v>
      </c>
      <c r="E116" s="2196"/>
      <c r="F116" s="2949"/>
      <c r="G116" s="2949"/>
      <c r="H116" s="2905"/>
      <c r="I116" s="2905"/>
      <c r="N116" s="55"/>
      <c r="O116" s="55"/>
    </row>
    <row r="117" spans="1:15" ht="15.75" thickBot="1">
      <c r="A117" s="2854"/>
      <c r="B117" s="2855"/>
      <c r="C117" s="2300" t="s">
        <v>1939</v>
      </c>
      <c r="D117" s="1053" t="str">
        <f ca="1">IF(D116=D112,D113,IF(A116="——","——",N61))</f>
        <v>——</v>
      </c>
      <c r="E117" s="2196"/>
      <c r="F117" s="2829" t="str">
        <f>IF(B32="总价","（以上估价结果中单价为总价除以建筑面积得出）","（以上估价结果中总价为楼面单价乘以建筑面积得出）")</f>
        <v>（以上估价结果中单价为总价除以建筑面积得出）</v>
      </c>
      <c r="G117" s="2829"/>
      <c r="H117" s="2829"/>
      <c r="I117" s="2829"/>
      <c r="N117" s="55"/>
      <c r="O117" s="55"/>
    </row>
    <row r="118" spans="1:15" ht="15">
      <c r="A118" s="2906" t="s">
        <v>1949</v>
      </c>
      <c r="B118" s="2907"/>
      <c r="C118" s="2907"/>
      <c r="D118" s="2907"/>
      <c r="E118" s="2907"/>
      <c r="F118" s="2907"/>
      <c r="G118" s="2907"/>
      <c r="H118" s="2907"/>
      <c r="I118" s="2907"/>
    </row>
    <row r="119" spans="1:15" ht="14.25">
      <c r="A119" s="2830" t="s">
        <v>1950</v>
      </c>
      <c r="B119" s="2860" t="s">
        <v>1951</v>
      </c>
      <c r="C119" s="2860" t="s">
        <v>1952</v>
      </c>
      <c r="D119" s="2932" t="s">
        <v>1953</v>
      </c>
      <c r="E119" s="2933"/>
      <c r="F119" s="2831" t="s">
        <v>1811</v>
      </c>
      <c r="G119" s="2831"/>
      <c r="H119" s="2831" t="s">
        <v>1954</v>
      </c>
      <c r="I119" s="2931"/>
    </row>
    <row r="120" spans="1:15" ht="14.25">
      <c r="A120" s="2830"/>
      <c r="B120" s="2861"/>
      <c r="C120" s="2861"/>
      <c r="D120" s="1887" t="s">
        <v>1955</v>
      </c>
      <c r="E120" s="1887" t="s">
        <v>1956</v>
      </c>
      <c r="F120" s="1887" t="s">
        <v>1955</v>
      </c>
      <c r="G120" s="1887" t="s">
        <v>1957</v>
      </c>
      <c r="H120" s="1887" t="s">
        <v>1955</v>
      </c>
      <c r="I120" s="637" t="s">
        <v>1957</v>
      </c>
    </row>
    <row r="121" spans="1:15" ht="14.25">
      <c r="A121" s="2182" t="str">
        <f>项目基本情况!I1</f>
        <v>北京市房地产</v>
      </c>
      <c r="B121" s="1887">
        <f>项目基本情况!C12</f>
        <v>689.57</v>
      </c>
      <c r="C121" s="1887">
        <f>项目基本情况!C13</f>
        <v>0</v>
      </c>
      <c r="D121" s="1887">
        <f ca="1">ROUND(IF(B32="总价",C34,IF('数据-取费表'!B3="万元",E121*B121/10000,E121*B121)),0)</f>
        <v>14329084</v>
      </c>
      <c r="E121" s="1887">
        <f ca="1">ROUND(IF(B32="楼面单价",C34,IF(H19="元",D121/B121,D121*10000/B121)),0)</f>
        <v>20780</v>
      </c>
      <c r="F121" s="1887">
        <f ca="1">ROUND(IF(B32="总价",C35,IF('数据-取费表'!B3="万元",G121*B121/10000,G121*B121)),0)</f>
        <v>2914098</v>
      </c>
      <c r="G121" s="1887">
        <f ca="1">ROUND(IF(B32="楼面单价",C35,IF(H19="元",F121/B121,F121*10000/B121)),0)</f>
        <v>4226</v>
      </c>
      <c r="H121" s="1887">
        <f ca="1">ROUND(IF(B32="总价",C32,IF('数据-取费表'!B3="万元",I121*B121/10000,I121*B121)),0)</f>
        <v>17243182</v>
      </c>
      <c r="I121" s="637">
        <f ca="1">ROUND(IF(B32="楼面单价",C32,IF(H19="元",H121/B121,H121*10000/B121)),0)</f>
        <v>25006</v>
      </c>
    </row>
    <row r="122" spans="1:15" ht="14.25">
      <c r="A122" s="2830" t="s">
        <v>1958</v>
      </c>
      <c r="B122" s="2831"/>
      <c r="C122" s="2831"/>
      <c r="D122" s="2864" t="str">
        <f ca="1">IF(H19="元",NUMBERSTRING(INT(D121),2)&amp;"元整",NUMBERSTRING(INT(D121*10000),2)&amp;"元整")</f>
        <v>壹仟肆佰叁拾贰万玖仟零捌拾肆元整</v>
      </c>
      <c r="E122" s="2911"/>
      <c r="F122" s="2864" t="str">
        <f ca="1">IF(H19="元",NUMBERSTRING(INT(F121),2)&amp;"元整",NUMBERSTRING(INT(F121*10000),2)&amp;"元整")</f>
        <v>贰佰玖拾壹万肆仟零玖拾捌元整</v>
      </c>
      <c r="G122" s="2911"/>
      <c r="H122" s="2864" t="str">
        <f ca="1">IF(H19="元",NUMBERSTRING(INT(H121),2)&amp;"元整",NUMBERSTRING(INT(H121*10000),2)&amp;"元整")</f>
        <v>壹仟柒佰贰拾肆万叁仟壹佰捌拾贰元整</v>
      </c>
      <c r="I122" s="2865"/>
    </row>
    <row r="123" spans="1:15" ht="15">
      <c r="A123" s="2912" t="str">
        <f>IF(项目基本情况!D5="房地产市场价值","——",MID(A108,3,LEN(A108)-2))</f>
        <v>估价师所知悉的法定优先受偿款</v>
      </c>
      <c r="B123" s="2842"/>
      <c r="C123" s="2913"/>
      <c r="D123" s="2841">
        <f>I105</f>
        <v>0</v>
      </c>
      <c r="E123" s="2842"/>
      <c r="F123" s="2842"/>
      <c r="G123" s="2842"/>
      <c r="H123" s="2842"/>
      <c r="I123" s="2843"/>
    </row>
    <row r="124" spans="1:15" ht="14.25">
      <c r="A124" s="2914" t="s">
        <v>1958</v>
      </c>
      <c r="B124" s="2915"/>
      <c r="C124" s="2916"/>
      <c r="D124" s="2844">
        <f>H109</f>
        <v>0</v>
      </c>
      <c r="E124" s="2845"/>
      <c r="F124" s="2845"/>
      <c r="G124" s="2845"/>
      <c r="H124" s="2845"/>
      <c r="I124" s="2846"/>
    </row>
    <row r="125" spans="1:15" ht="15">
      <c r="A125" s="2847" t="str">
        <f>IF(项目基本情况!D5="房地产市场价值","——",MID(A112,3,LEN(A112)-2))</f>
        <v>房地产抵押价值</v>
      </c>
      <c r="B125" s="2848"/>
      <c r="C125" s="2848"/>
      <c r="D125" s="2841">
        <f ca="1">I110</f>
        <v>17243182</v>
      </c>
      <c r="E125" s="2842"/>
      <c r="F125" s="2842"/>
      <c r="G125" s="2842"/>
      <c r="H125" s="2842"/>
      <c r="I125" s="2843"/>
    </row>
    <row r="126" spans="1:15" ht="14.25">
      <c r="A126" s="2830" t="s">
        <v>1958</v>
      </c>
      <c r="B126" s="2831"/>
      <c r="C126" s="2831"/>
      <c r="D126" s="2844">
        <f ca="1">I111</f>
        <v>25006</v>
      </c>
      <c r="E126" s="2845"/>
      <c r="F126" s="2845"/>
      <c r="G126" s="2845"/>
      <c r="H126" s="2845"/>
      <c r="I126" s="2846"/>
    </row>
    <row r="127" spans="1:15" ht="15.75" thickBot="1">
      <c r="A127" s="2847" t="str">
        <f>IF(项目基本情况!D5="房地产市场价值","——",MID(A114,3,LEN(A114)-2))</f>
        <v/>
      </c>
      <c r="B127" s="2848"/>
      <c r="C127" s="2848"/>
      <c r="D127" s="2946" t="str">
        <f>I112</f>
        <v>——</v>
      </c>
      <c r="E127" s="2947"/>
      <c r="F127" s="2947"/>
      <c r="G127" s="2947"/>
      <c r="H127" s="2947"/>
      <c r="I127" s="2948"/>
    </row>
    <row r="128" spans="1:15" ht="15.75" thickTop="1" thickBot="1">
      <c r="A128" s="2830" t="s">
        <v>1958</v>
      </c>
      <c r="B128" s="2831"/>
      <c r="C128" s="2832"/>
      <c r="D128" s="2904" t="str">
        <f>I113</f>
        <v>——</v>
      </c>
      <c r="E128" s="2904"/>
      <c r="F128" s="2904"/>
      <c r="G128" s="2904"/>
      <c r="H128" s="2904"/>
      <c r="I128" s="2904"/>
    </row>
    <row r="129" spans="1:9" ht="16.5" thickTop="1" thickBot="1">
      <c r="A129" s="2847" t="str">
        <f>IF(项目基本情况!D5="房地产市场价值","——",MID(F114,3,LEN(F114)-2))</f>
        <v/>
      </c>
      <c r="B129" s="2848"/>
      <c r="C129" s="2841"/>
      <c r="D129" s="2853" t="str">
        <f>I114</f>
        <v>——</v>
      </c>
      <c r="E129" s="2853"/>
      <c r="F129" s="2853"/>
      <c r="G129" s="2853"/>
      <c r="H129" s="2853"/>
      <c r="I129" s="2853"/>
    </row>
    <row r="130" spans="1:9" ht="15.75" thickTop="1" thickBot="1">
      <c r="A130" s="2858" t="s">
        <v>1958</v>
      </c>
      <c r="B130" s="2859"/>
      <c r="C130" s="2859"/>
      <c r="D130" s="2866">
        <f>H116</f>
        <v>0</v>
      </c>
      <c r="E130" s="2867"/>
      <c r="F130" s="2867"/>
      <c r="G130" s="2867"/>
      <c r="H130" s="2867"/>
      <c r="I130" s="2868"/>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28" t="str">
        <f>IF(B32="总价","（以上估价结果中楼面单价为总价除以建筑面积得出）","（以上估价结果中总价为楼面单价乘以建筑面积得出）")</f>
        <v>（以上估价结果中楼面单价为总价除以建筑面积得出）</v>
      </c>
      <c r="B132" s="2828"/>
      <c r="C132" s="2828"/>
      <c r="D132" s="2828"/>
      <c r="E132" s="2828"/>
      <c r="F132" s="2828"/>
      <c r="G132" s="2828"/>
      <c r="H132" s="2828"/>
      <c r="I132" s="2828"/>
    </row>
    <row r="133" spans="1:9" ht="21.75" customHeight="1">
      <c r="A133" s="2301" t="s">
        <v>1959</v>
      </c>
      <c r="B133" s="2302"/>
      <c r="C133" s="2303" t="s">
        <v>1960</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1961</v>
      </c>
      <c r="G139" s="2315"/>
      <c r="H139" s="2315"/>
      <c r="I139" s="2316" t="s">
        <v>1962</v>
      </c>
    </row>
    <row r="140" spans="1:9" ht="21.75" customHeight="1">
      <c r="A140" s="798"/>
      <c r="B140" s="2317"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1964</v>
      </c>
    </row>
    <row r="143" spans="1:9" ht="21.75" customHeight="1">
      <c r="A143" s="798"/>
      <c r="B143" s="2317" t="s">
        <v>1965</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1964</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1966</v>
      </c>
      <c r="B1" s="2196"/>
      <c r="C1" s="2196"/>
      <c r="D1" s="2196"/>
      <c r="E1" s="2196"/>
      <c r="F1" s="2196"/>
      <c r="G1" s="2196"/>
      <c r="H1" s="2196"/>
      <c r="I1" s="2196"/>
    </row>
    <row r="2" spans="1:12" ht="21.75" customHeight="1">
      <c r="A2" s="2965" t="s">
        <v>1967</v>
      </c>
      <c r="B2" s="2965"/>
      <c r="C2" s="2965"/>
      <c r="D2" s="2965"/>
      <c r="E2" s="2965"/>
      <c r="F2" s="2965"/>
      <c r="G2" s="2965"/>
      <c r="H2" s="2965"/>
      <c r="I2" s="2965"/>
    </row>
    <row r="3" spans="1:12" ht="12.75">
      <c r="A3" s="2895" t="s">
        <v>1771</v>
      </c>
      <c r="B3" s="2896"/>
      <c r="C3" s="2896"/>
      <c r="D3" s="2896"/>
      <c r="E3" s="2896"/>
      <c r="F3" s="2896"/>
      <c r="G3" s="2896"/>
      <c r="H3" s="2896"/>
      <c r="I3" s="2896"/>
    </row>
    <row r="4" spans="1:12" ht="14.25">
      <c r="A4" s="2198" t="s">
        <v>1772</v>
      </c>
      <c r="B4" s="2199" t="s">
        <v>1773</v>
      </c>
      <c r="C4" s="2200"/>
      <c r="D4" s="2200"/>
      <c r="E4" s="2876" t="s">
        <v>1968</v>
      </c>
      <c r="F4" s="2877"/>
      <c r="G4" s="2877"/>
      <c r="H4" s="2877"/>
      <c r="I4" s="288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9" t="s">
        <v>1775</v>
      </c>
      <c r="B5" s="2831">
        <v>25</v>
      </c>
      <c r="C5" s="2880"/>
      <c r="D5" s="2894"/>
      <c r="E5" s="56" t="s">
        <v>1776</v>
      </c>
      <c r="F5" s="2201"/>
      <c r="G5" s="2201"/>
      <c r="H5" s="2201"/>
      <c r="I5" s="2202"/>
    </row>
    <row r="6" spans="1:12" ht="12.75">
      <c r="A6" s="2869"/>
      <c r="B6" s="2831"/>
      <c r="C6" s="2897"/>
      <c r="D6" s="2894"/>
      <c r="E6" s="56" t="s">
        <v>1777</v>
      </c>
      <c r="F6" s="2201"/>
      <c r="G6" s="2201"/>
      <c r="H6" s="2201"/>
      <c r="I6" s="2202"/>
    </row>
    <row r="7" spans="1:12" ht="12.75">
      <c r="A7" s="2869"/>
      <c r="B7" s="2831"/>
      <c r="C7" s="2881"/>
      <c r="D7" s="2894"/>
      <c r="E7" s="56" t="s">
        <v>1778</v>
      </c>
      <c r="F7" s="2201"/>
      <c r="G7" s="2201"/>
      <c r="H7" s="2201"/>
      <c r="I7" s="2202"/>
    </row>
    <row r="8" spans="1:12" ht="12.75">
      <c r="A8" s="2869" t="s">
        <v>1779</v>
      </c>
      <c r="B8" s="2831">
        <v>15</v>
      </c>
      <c r="C8" s="2880"/>
      <c r="D8" s="2894"/>
      <c r="E8" s="56" t="s">
        <v>1780</v>
      </c>
      <c r="F8" s="2201"/>
      <c r="G8" s="2201"/>
      <c r="H8" s="2201"/>
      <c r="I8" s="2202"/>
    </row>
    <row r="9" spans="1:12" ht="12.75">
      <c r="A9" s="2869"/>
      <c r="B9" s="2831"/>
      <c r="C9" s="2881"/>
      <c r="D9" s="2894"/>
      <c r="E9" s="56" t="s">
        <v>1781</v>
      </c>
      <c r="F9" s="2201"/>
      <c r="G9" s="2201"/>
      <c r="H9" s="2201"/>
      <c r="I9" s="2202"/>
    </row>
    <row r="10" spans="1:12" ht="12.75">
      <c r="A10" s="2869" t="s">
        <v>1782</v>
      </c>
      <c r="B10" s="2831">
        <v>15</v>
      </c>
      <c r="C10" s="2880"/>
      <c r="D10" s="2894"/>
      <c r="E10" s="56" t="s">
        <v>1783</v>
      </c>
      <c r="F10" s="2201"/>
      <c r="G10" s="2201"/>
      <c r="H10" s="2201"/>
      <c r="I10" s="2202"/>
    </row>
    <row r="11" spans="1:12" ht="12.75">
      <c r="A11" s="2869"/>
      <c r="B11" s="2831"/>
      <c r="C11" s="2881"/>
      <c r="D11" s="2894"/>
      <c r="E11" s="56" t="s">
        <v>1784</v>
      </c>
      <c r="F11" s="2201"/>
      <c r="G11" s="2201"/>
      <c r="H11" s="2201"/>
      <c r="I11" s="2202"/>
    </row>
    <row r="12" spans="1:12" ht="12.75">
      <c r="A12" s="2869" t="s">
        <v>1785</v>
      </c>
      <c r="B12" s="2831">
        <v>15</v>
      </c>
      <c r="C12" s="2880"/>
      <c r="D12" s="2894"/>
      <c r="E12" s="56" t="s">
        <v>1786</v>
      </c>
      <c r="F12" s="2201"/>
      <c r="G12" s="2201"/>
      <c r="H12" s="2201"/>
      <c r="I12" s="2202"/>
    </row>
    <row r="13" spans="1:12" ht="12.75">
      <c r="A13" s="2869"/>
      <c r="B13" s="2831"/>
      <c r="C13" s="2881"/>
      <c r="D13" s="2894"/>
      <c r="E13" s="56" t="s">
        <v>1787</v>
      </c>
      <c r="F13" s="2201"/>
      <c r="G13" s="2201"/>
      <c r="H13" s="2201"/>
      <c r="I13" s="2202"/>
    </row>
    <row r="14" spans="1:12" ht="12.75">
      <c r="A14" s="2869" t="s">
        <v>1788</v>
      </c>
      <c r="B14" s="2831">
        <v>30</v>
      </c>
      <c r="C14" s="2880"/>
      <c r="D14" s="2894"/>
      <c r="E14" s="56" t="s">
        <v>1789</v>
      </c>
      <c r="F14" s="2201"/>
      <c r="G14" s="2201"/>
      <c r="H14" s="2201"/>
      <c r="I14" s="2202"/>
    </row>
    <row r="15" spans="1:12" ht="12.75">
      <c r="A15" s="2869"/>
      <c r="B15" s="2831"/>
      <c r="C15" s="2897"/>
      <c r="D15" s="2894"/>
      <c r="E15" s="56" t="s">
        <v>1790</v>
      </c>
      <c r="F15" s="2201"/>
      <c r="G15" s="2201"/>
      <c r="H15" s="2201"/>
      <c r="I15" s="2202"/>
    </row>
    <row r="16" spans="1:12" ht="12.75">
      <c r="A16" s="2869"/>
      <c r="B16" s="2831"/>
      <c r="C16" s="2881"/>
      <c r="D16" s="2894"/>
      <c r="E16" s="56" t="s">
        <v>1791</v>
      </c>
      <c r="F16" s="2201"/>
      <c r="G16" s="2201"/>
      <c r="H16" s="2201"/>
      <c r="I16" s="2202"/>
    </row>
    <row r="17" spans="1:35" ht="15">
      <c r="A17" s="2203" t="s">
        <v>1792</v>
      </c>
      <c r="B17" s="2204"/>
      <c r="C17" s="57">
        <f>SUM(C5:C16)</f>
        <v>0</v>
      </c>
      <c r="D17" s="57">
        <f>SUM(D5:D16)</f>
        <v>0</v>
      </c>
      <c r="E17" s="2196"/>
      <c r="F17" s="2196"/>
      <c r="G17" s="2196"/>
      <c r="H17" s="2196"/>
      <c r="I17" s="2196"/>
    </row>
    <row r="18" spans="1:35" ht="15.75" thickBot="1">
      <c r="A18" s="2205" t="s">
        <v>1793</v>
      </c>
      <c r="B18" s="2206"/>
      <c r="C18" s="58" t="e">
        <f>ROUND(C17/SUM(C17:D17),2)</f>
        <v>#DIV/0!</v>
      </c>
      <c r="D18" s="58" t="e">
        <f>1-C18</f>
        <v>#DIV/0!</v>
      </c>
      <c r="E18" s="2196"/>
      <c r="F18" s="2196"/>
      <c r="G18" s="2196"/>
      <c r="H18" s="2196"/>
      <c r="I18" s="2196"/>
    </row>
    <row r="19" spans="1:35" ht="15">
      <c r="A19" s="2207" t="s">
        <v>1794</v>
      </c>
      <c r="B19" s="2208" t="s">
        <v>1795</v>
      </c>
      <c r="C19" s="59" t="e">
        <f ca="1">SUMIF(INDIRECT("'"&amp;C4&amp;"'"&amp;"!A:A"),'结果表 (1修多)'!B19,INDIRECT("'"&amp;C4&amp;"'"&amp;"!B:B"))</f>
        <v>#REF!</v>
      </c>
      <c r="D19" s="60" t="e">
        <f ca="1">SUMIF(INDIRECT("'"&amp;D4&amp;"'"&amp;"!A:A"),'结果表 (1修多)'!B19,INDIRECT("'"&amp;D4&amp;"'"&amp;"!B:B"))</f>
        <v>#REF!</v>
      </c>
      <c r="E19" s="2207" t="s">
        <v>1796</v>
      </c>
      <c r="F19" s="2208" t="s">
        <v>1795</v>
      </c>
      <c r="G19" s="61" t="e">
        <f ca="1">ROUND(C19*$C$18+D19*$D$18,0)</f>
        <v>#REF!</v>
      </c>
      <c r="H19" s="2209" t="str">
        <f>'数据-取费表'!B3</f>
        <v>元</v>
      </c>
      <c r="I19" s="2196"/>
    </row>
    <row r="20" spans="1:35" ht="15">
      <c r="A20" s="2210"/>
      <c r="B20" s="2211" t="s">
        <v>1797</v>
      </c>
      <c r="C20" s="62" t="e">
        <f ca="1">SUMIF(INDIRECT("'"&amp;C4&amp;"'"&amp;"!A:A"),'结果表 (1修多)'!B20,INDIRECT("'"&amp;C4&amp;"'"&amp;"!B:B"))</f>
        <v>#REF!</v>
      </c>
      <c r="D20" s="63" t="e">
        <f ca="1">SUMIF(INDIRECT("'"&amp;D4&amp;"'"&amp;"!A:A"),'结果表 (1修多)'!B20,INDIRECT("'"&amp;D4&amp;"'"&amp;"!B:B"))</f>
        <v>#REF!</v>
      </c>
      <c r="E20" s="2210"/>
      <c r="F20" s="2211" t="s">
        <v>1797</v>
      </c>
      <c r="G20" s="64" t="e">
        <f ca="1">ROUND(C20*$C$18+D20*$D$18,0)</f>
        <v>#REF!</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1800</v>
      </c>
      <c r="B24" s="2208" t="s">
        <v>1795</v>
      </c>
      <c r="C24" s="61">
        <f>D30</f>
        <v>0</v>
      </c>
      <c r="D24" s="994"/>
      <c r="E24" s="2196"/>
      <c r="F24" s="2196"/>
      <c r="G24" s="2196"/>
      <c r="H24" s="2196"/>
      <c r="I24" s="2196"/>
    </row>
    <row r="25" spans="1:35" ht="21.75" customHeight="1">
      <c r="A25" s="2901"/>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t="s">
        <v>1969</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5" t="s">
        <v>1970</v>
      </c>
      <c r="B30" s="2716"/>
      <c r="C30" s="2716"/>
      <c r="D30" s="2716"/>
      <c r="E30" s="2714" t="s">
        <v>2805</v>
      </c>
      <c r="F30" s="2196"/>
      <c r="G30" s="2196"/>
      <c r="H30" s="2196"/>
      <c r="I30" s="2196"/>
    </row>
    <row r="31" spans="1:35" s="2223" customFormat="1" ht="15.75" thickBot="1">
      <c r="A31" s="2956" t="s">
        <v>1971</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1972</v>
      </c>
      <c r="C32" s="1308">
        <f>典型户型修正!R27</f>
        <v>0</v>
      </c>
      <c r="D32" s="2196" t="s">
        <v>1973</v>
      </c>
      <c r="E32" s="2196"/>
      <c r="F32" s="2196"/>
      <c r="G32" s="2196"/>
      <c r="H32" s="2196"/>
      <c r="I32" s="2196"/>
    </row>
    <row r="33" spans="1:16" ht="15">
      <c r="A33" s="2323" t="s">
        <v>1974</v>
      </c>
      <c r="B33" s="2324" t="s">
        <v>1975</v>
      </c>
      <c r="C33" s="1309">
        <f>典型户型修正!B2</f>
        <v>0</v>
      </c>
      <c r="D33" s="2325" t="str">
        <f>IF('数据-取费表'!B3="万元","万元","元")</f>
        <v>元</v>
      </c>
      <c r="E33" s="2196"/>
      <c r="F33" s="2196"/>
      <c r="G33" s="2196"/>
      <c r="H33" s="2196"/>
      <c r="I33" s="2196"/>
    </row>
    <row r="34" spans="1:16" ht="15.75" thickBot="1">
      <c r="A34" s="2326"/>
      <c r="B34" s="2327" t="s">
        <v>1976</v>
      </c>
      <c r="C34" s="771" t="e">
        <f>典型户型修正!B3</f>
        <v>#DIV/0!</v>
      </c>
      <c r="D34" s="2196" t="s">
        <v>1977</v>
      </c>
      <c r="E34" s="2196"/>
      <c r="F34" s="2196"/>
      <c r="G34" s="2196"/>
      <c r="H34" s="2196"/>
      <c r="I34" s="2196"/>
    </row>
    <row r="35" spans="1:16" ht="15">
      <c r="A35" s="2328"/>
      <c r="B35" s="2329" t="s">
        <v>1978</v>
      </c>
      <c r="C35" s="1316">
        <f>IF('数据-取费表'!B3="万元",典型户型修正!V25,典型户型修正!U25)</f>
        <v>0</v>
      </c>
      <c r="D35" s="2196" t="str">
        <f>D33</f>
        <v>元</v>
      </c>
      <c r="E35" s="2196"/>
      <c r="F35" s="2196"/>
      <c r="G35" s="2196"/>
      <c r="H35" s="2196"/>
      <c r="I35" s="2196"/>
    </row>
    <row r="36" spans="1:16" ht="15.75" thickBot="1">
      <c r="A36" s="2235"/>
      <c r="B36" s="2330" t="s">
        <v>1979</v>
      </c>
      <c r="C36" s="1317">
        <f>IF('数据-取费表'!B3="万元",典型户型修正!Y25,典型户型修正!X25)</f>
        <v>0</v>
      </c>
      <c r="D36" s="2196" t="str">
        <f>D33</f>
        <v>元</v>
      </c>
      <c r="E36" s="2196"/>
      <c r="F36" s="2196"/>
      <c r="G36" s="2196"/>
      <c r="H36" s="2196"/>
      <c r="I36" s="2196"/>
    </row>
    <row r="37" spans="1:16" ht="15.75" thickBot="1">
      <c r="A37" s="2882" t="s">
        <v>1980</v>
      </c>
      <c r="B37" s="2238" t="s">
        <v>1981</v>
      </c>
      <c r="C37" s="69"/>
      <c r="D37" s="2239"/>
      <c r="E37" s="2240"/>
      <c r="F37" s="2240"/>
      <c r="G37" s="2196"/>
      <c r="H37" s="2196"/>
      <c r="I37" s="2196"/>
    </row>
    <row r="38" spans="1:16" ht="15.75" thickBot="1">
      <c r="A38" s="2883"/>
      <c r="B38" s="2241" t="s">
        <v>1982</v>
      </c>
      <c r="C38" s="71"/>
      <c r="D38" s="2206"/>
      <c r="E38" s="2206"/>
      <c r="F38" s="2240"/>
      <c r="G38" s="2206"/>
      <c r="H38" s="2206"/>
      <c r="I38" s="2206"/>
    </row>
    <row r="39" spans="1:16" ht="15.75" thickBot="1">
      <c r="A39" s="2884"/>
      <c r="B39" s="2242" t="s">
        <v>1983</v>
      </c>
      <c r="C39" s="712"/>
      <c r="D39" s="2243" t="s">
        <v>1984</v>
      </c>
      <c r="E39" s="2206"/>
      <c r="F39" s="2240"/>
      <c r="G39" s="2206"/>
      <c r="H39" s="2206"/>
      <c r="I39" s="2206"/>
    </row>
    <row r="40" spans="1:16" ht="15">
      <c r="A40" s="2210" t="s">
        <v>1985</v>
      </c>
      <c r="B40" s="2244" t="s">
        <v>1986</v>
      </c>
      <c r="C40" s="2245" t="s">
        <v>1987</v>
      </c>
      <c r="D40" s="2245" t="s">
        <v>1988</v>
      </c>
      <c r="E40" s="2246" t="s">
        <v>1989</v>
      </c>
      <c r="F40" s="2240"/>
      <c r="G40" s="2206"/>
      <c r="H40" s="2206"/>
      <c r="I40" s="2206"/>
    </row>
    <row r="41" spans="1:16" ht="14.25">
      <c r="A41" s="2247" t="s">
        <v>1990</v>
      </c>
      <c r="B41" s="74"/>
      <c r="C41" s="75"/>
      <c r="D41" s="75"/>
      <c r="E41" s="76"/>
      <c r="F41" s="2240"/>
      <c r="G41" s="2206"/>
      <c r="H41" s="2206"/>
      <c r="I41" s="2206"/>
    </row>
    <row r="42" spans="1:16" ht="14.25">
      <c r="A42" s="2247" t="s">
        <v>1991</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1992</v>
      </c>
      <c r="B45" s="2253"/>
      <c r="C45" s="2253"/>
      <c r="D45" s="2254"/>
      <c r="E45" s="2254"/>
      <c r="F45" s="2255"/>
      <c r="G45" s="2255"/>
      <c r="H45" s="2255"/>
      <c r="I45" s="2255"/>
      <c r="J45" s="2256" t="s">
        <v>1823</v>
      </c>
      <c r="K45" s="2257"/>
      <c r="L45" s="2257"/>
      <c r="M45" s="2257"/>
      <c r="N45" s="2257"/>
      <c r="O45" s="2257"/>
      <c r="P45" s="1845"/>
    </row>
    <row r="46" spans="1:16" ht="14.25" customHeight="1" thickBot="1">
      <c r="A46" s="2888" t="s">
        <v>1993</v>
      </c>
      <c r="B46" s="2889"/>
      <c r="C46" s="2890"/>
      <c r="D46" s="80">
        <f>ROUND(I103*F46,0)</f>
        <v>0</v>
      </c>
      <c r="E46" s="81" t="s">
        <v>1994</v>
      </c>
      <c r="F46" s="82">
        <v>1</v>
      </c>
      <c r="G46" s="83" t="s">
        <v>1995</v>
      </c>
      <c r="H46" s="2196"/>
      <c r="I46" s="2196"/>
      <c r="J46" s="2950" t="s">
        <v>1827</v>
      </c>
      <c r="K46" s="2950"/>
      <c r="L46" s="2950"/>
      <c r="M46" s="2950"/>
      <c r="N46" s="2950"/>
      <c r="O46" s="2950"/>
      <c r="P46" s="1845"/>
    </row>
    <row r="47" spans="1:16" ht="14.25" customHeight="1">
      <c r="A47" s="2873" t="s">
        <v>1828</v>
      </c>
      <c r="B47" s="2874"/>
      <c r="C47" s="2874"/>
      <c r="D47" s="2874"/>
      <c r="E47" s="2874"/>
      <c r="F47" s="2874"/>
      <c r="G47" s="2875"/>
      <c r="H47" s="2258"/>
      <c r="I47" s="1144"/>
      <c r="J47" s="1883">
        <v>1</v>
      </c>
      <c r="K47" s="2950" t="s">
        <v>1829</v>
      </c>
      <c r="L47" s="2950"/>
      <c r="M47" s="2966"/>
      <c r="N47" s="2966"/>
      <c r="O47" s="2966"/>
      <c r="P47" s="1845"/>
    </row>
    <row r="48" spans="1:16" ht="12" customHeight="1">
      <c r="A48" s="85" t="s">
        <v>1830</v>
      </c>
      <c r="B48" s="86"/>
      <c r="C48" s="87"/>
      <c r="D48" s="88" t="s">
        <v>1831</v>
      </c>
      <c r="E48" s="14" t="s">
        <v>1832</v>
      </c>
      <c r="F48" s="89" t="s">
        <v>1833</v>
      </c>
      <c r="G48" s="90" t="s">
        <v>1834</v>
      </c>
      <c r="H48" s="2258"/>
      <c r="I48" s="1144"/>
      <c r="J48" s="1883">
        <v>2</v>
      </c>
      <c r="K48" s="2950" t="s">
        <v>1835</v>
      </c>
      <c r="L48" s="2950"/>
      <c r="M48" s="2952">
        <f>'数据-取费表'!B2</f>
        <v>42961</v>
      </c>
      <c r="N48" s="2952"/>
      <c r="O48" s="2952"/>
      <c r="P48" s="1845"/>
    </row>
    <row r="49" spans="1:16" ht="25.5">
      <c r="A49" s="2885" t="s">
        <v>1836</v>
      </c>
      <c r="B49" s="2886"/>
      <c r="C49" s="2886"/>
      <c r="D49" s="56">
        <f>IF(H49="情况1",0,IF(H49="情况2",D53,IF(H49="情况3",D54,IF(H49="情况4",D55))))</f>
        <v>0</v>
      </c>
      <c r="E49" s="1893" t="str">
        <f>IF(H49="情况4","(销售额-原购置价)×税（费）率","销售额×税（费）率")</f>
        <v>销售额×税（费）率</v>
      </c>
      <c r="F49" s="91">
        <f>IF(H49="情况1","免征",'数据-取费表'!E29)</f>
        <v>5.6000000000000001E-2</v>
      </c>
      <c r="G49" s="2259" t="s">
        <v>1837</v>
      </c>
      <c r="H49" s="2260" t="s">
        <v>1838</v>
      </c>
      <c r="I49" s="2258"/>
      <c r="J49" s="1883">
        <v>3</v>
      </c>
      <c r="K49" s="2950" t="s">
        <v>1839</v>
      </c>
      <c r="L49" s="2950"/>
      <c r="M49" s="2951">
        <f>I103</f>
        <v>0</v>
      </c>
      <c r="N49" s="2951"/>
      <c r="O49" s="2951"/>
      <c r="P49" s="1845"/>
    </row>
    <row r="50" spans="1:16" ht="25.5" customHeight="1">
      <c r="A50" s="92" t="s">
        <v>1840</v>
      </c>
      <c r="B50" s="2878" t="s">
        <v>1841</v>
      </c>
      <c r="C50" s="2878"/>
      <c r="D50" s="93">
        <v>0</v>
      </c>
      <c r="E50" s="13" t="s">
        <v>1842</v>
      </c>
      <c r="F50" s="18" t="s">
        <v>48</v>
      </c>
      <c r="G50" s="2943"/>
      <c r="H50" s="2196"/>
      <c r="I50" s="2261"/>
      <c r="J50" s="1883">
        <v>4</v>
      </c>
      <c r="K50" s="2950" t="str">
        <f>IF(项目基本情况!F5="房地产抵押价值","房地产抵押价值","抵押担保权已注销时的房地产抵押价值")</f>
        <v>抵押担保权已注销时的房地产抵押价值</v>
      </c>
      <c r="L50" s="2950"/>
      <c r="M50" s="2951" t="str">
        <f>IF(项目基本情况!F5="房地产抵押价值",I111,I113)</f>
        <v>——</v>
      </c>
      <c r="N50" s="2951"/>
      <c r="O50" s="2951"/>
      <c r="P50" s="1845"/>
    </row>
    <row r="51" spans="1:16" ht="25.5" customHeight="1">
      <c r="A51" s="94"/>
      <c r="B51" s="2878" t="s">
        <v>1843</v>
      </c>
      <c r="C51" s="2878"/>
      <c r="D51" s="95"/>
      <c r="E51" s="21"/>
      <c r="F51" s="96"/>
      <c r="G51" s="2944"/>
      <c r="H51" s="2196"/>
      <c r="I51" s="2261"/>
      <c r="J51" s="2950" t="s">
        <v>1844</v>
      </c>
      <c r="K51" s="2950"/>
      <c r="L51" s="2950"/>
      <c r="M51" s="2950"/>
      <c r="N51" s="2950"/>
      <c r="O51" s="2950"/>
      <c r="P51" s="1845"/>
    </row>
    <row r="52" spans="1:16" ht="12" customHeight="1">
      <c r="A52" s="97"/>
      <c r="B52" s="2878" t="s">
        <v>1845</v>
      </c>
      <c r="C52" s="2878"/>
      <c r="D52" s="98"/>
      <c r="E52" s="20"/>
      <c r="F52" s="96"/>
      <c r="G52" s="2945"/>
      <c r="H52" s="2196"/>
      <c r="I52" s="2261"/>
      <c r="J52" s="2262" t="s">
        <v>1846</v>
      </c>
      <c r="K52" s="2950" t="s">
        <v>1847</v>
      </c>
      <c r="L52" s="2950"/>
      <c r="M52" s="2262" t="s">
        <v>1848</v>
      </c>
      <c r="N52" s="2262" t="s">
        <v>1849</v>
      </c>
      <c r="O52" s="2262" t="s">
        <v>1850</v>
      </c>
      <c r="P52" s="1845"/>
    </row>
    <row r="53" spans="1:16" ht="24" customHeight="1">
      <c r="A53" s="99" t="s">
        <v>1851</v>
      </c>
      <c r="B53" s="2878" t="s">
        <v>1852</v>
      </c>
      <c r="C53" s="2878"/>
      <c r="D53" s="98">
        <f>ROUND(D46*'数据-取费表'!E29/(1+'数据-取费表'!F30),0)</f>
        <v>0</v>
      </c>
      <c r="E53" s="10" t="s">
        <v>1853</v>
      </c>
      <c r="F53" s="100">
        <f>'数据-取费表'!E29</f>
        <v>5.6000000000000001E-2</v>
      </c>
      <c r="G53" s="2263"/>
      <c r="H53" s="2196"/>
      <c r="I53" s="2261"/>
      <c r="J53" s="1883">
        <v>1</v>
      </c>
      <c r="K53" s="2910" t="s">
        <v>1854</v>
      </c>
      <c r="L53" s="2910"/>
      <c r="M53" s="778">
        <f>D49</f>
        <v>0</v>
      </c>
      <c r="N53" s="1883" t="str">
        <f>E49</f>
        <v>销售额×税（费）率</v>
      </c>
      <c r="O53" s="779">
        <f>F49</f>
        <v>5.6000000000000001E-2</v>
      </c>
      <c r="P53" s="1845"/>
    </row>
    <row r="54" spans="1:16" ht="12" customHeight="1">
      <c r="A54" s="99" t="s">
        <v>1855</v>
      </c>
      <c r="B54" s="2879" t="s">
        <v>1856</v>
      </c>
      <c r="C54" s="2809"/>
      <c r="D54" s="98">
        <f>ROUND(D46*'数据-取费表'!E29/(1+'数据-取费表'!F30),0)</f>
        <v>0</v>
      </c>
      <c r="E54" s="10" t="s">
        <v>1853</v>
      </c>
      <c r="F54" s="100">
        <f>'数据-取费表'!E29</f>
        <v>5.6000000000000001E-2</v>
      </c>
      <c r="G54" s="2263"/>
      <c r="H54" s="2196"/>
      <c r="I54" s="2261"/>
      <c r="J54" s="1883">
        <v>2</v>
      </c>
      <c r="K54" s="2910" t="s">
        <v>1857</v>
      </c>
      <c r="L54" s="2910"/>
      <c r="M54" s="778">
        <f t="shared" ref="M54:O55" si="1">D56</f>
        <v>0</v>
      </c>
      <c r="N54" s="1883" t="str">
        <f t="shared" si="1"/>
        <v>销售额×税（费）率</v>
      </c>
      <c r="O54" s="779">
        <f t="shared" si="1"/>
        <v>5.0000000000000001E-4</v>
      </c>
      <c r="P54" s="1845"/>
    </row>
    <row r="55" spans="1:16" ht="12" customHeight="1">
      <c r="A55" s="99" t="s">
        <v>1858</v>
      </c>
      <c r="B55" s="2879" t="s">
        <v>1859</v>
      </c>
      <c r="C55" s="2809"/>
      <c r="D55" s="98">
        <f>C69</f>
        <v>0</v>
      </c>
      <c r="E55" s="20" t="s">
        <v>1860</v>
      </c>
      <c r="F55" s="100">
        <f>'数据-取费表'!E29</f>
        <v>5.6000000000000001E-2</v>
      </c>
      <c r="G55" s="2263"/>
      <c r="H55" s="2264"/>
      <c r="I55" s="2261"/>
      <c r="J55" s="1883">
        <v>3</v>
      </c>
      <c r="K55" s="2910" t="s">
        <v>1861</v>
      </c>
      <c r="L55" s="2910"/>
      <c r="M55" s="778">
        <f t="shared" si="1"/>
        <v>0</v>
      </c>
      <c r="N55" s="1883" t="str">
        <f t="shared" si="1"/>
        <v>增值额×税（费）率</v>
      </c>
      <c r="O55" s="780" t="str">
        <f t="shared" si="1"/>
        <v>——</v>
      </c>
      <c r="P55" s="1845"/>
    </row>
    <row r="56" spans="1:16" ht="24" customHeight="1">
      <c r="A56" s="2801" t="s">
        <v>1862</v>
      </c>
      <c r="B56" s="2886"/>
      <c r="C56" s="2886"/>
      <c r="D56" s="101">
        <f>IF(H56="个人住宅",0,ROUND(D46*I56,0))</f>
        <v>0</v>
      </c>
      <c r="E56" s="10" t="s">
        <v>1863</v>
      </c>
      <c r="F56" s="100">
        <f>IF(H56="正常",I56,"免征")</f>
        <v>5.0000000000000001E-4</v>
      </c>
      <c r="G56" s="2263"/>
      <c r="H56" s="2260" t="s">
        <v>1864</v>
      </c>
      <c r="I56" s="102">
        <f>'数据-取费表'!E37</f>
        <v>5.0000000000000001E-4</v>
      </c>
      <c r="J56" s="1883" t="str">
        <f>IF(H60="非个人房产","",4)</f>
        <v/>
      </c>
      <c r="K56" s="2910" t="str">
        <f>IF(H60="非个人房产","——","个人所得税")</f>
        <v>——</v>
      </c>
      <c r="L56" s="2910"/>
      <c r="M56" s="781" t="str">
        <f>D60</f>
        <v>——</v>
      </c>
      <c r="N56" s="1886" t="str">
        <f>E60</f>
        <v>——</v>
      </c>
      <c r="O56" s="782" t="str">
        <f>F60</f>
        <v>——</v>
      </c>
      <c r="P56" s="1845"/>
    </row>
    <row r="57" spans="1:16" ht="24.75">
      <c r="A57" s="2801" t="s">
        <v>1865</v>
      </c>
      <c r="B57" s="2886"/>
      <c r="C57" s="2886"/>
      <c r="D57" s="101">
        <f>IF(H57="个人住宅",D58,D59)</f>
        <v>0</v>
      </c>
      <c r="E57" s="10" t="s">
        <v>1866</v>
      </c>
      <c r="F57" s="100" t="str">
        <f>IF(H57="正常",F59,"免征")</f>
        <v>——</v>
      </c>
      <c r="G57" s="2265" t="s">
        <v>1867</v>
      </c>
      <c r="H57" s="2266" t="s">
        <v>1864</v>
      </c>
      <c r="I57" s="1022"/>
      <c r="J57" s="1883" t="str">
        <f>IF(项目基本情况!I6="上海银行",IF(J56="",4,J56+1),"")</f>
        <v/>
      </c>
      <c r="K57" s="2928" t="str">
        <f>IF(项目基本情况!I6="上海银行","其他处置费用","")</f>
        <v/>
      </c>
      <c r="L57" s="2929"/>
      <c r="M57" s="778" t="str">
        <f>IF(项目基本情况!I6="上海银行",M70,"")</f>
        <v/>
      </c>
      <c r="N57" s="2941" t="str">
        <f>IF(项目基本情况!I6="上海银行","包含处置中涉及的律师、诉讼、拍卖、评估等费用","")</f>
        <v/>
      </c>
      <c r="O57" s="2942"/>
      <c r="P57" s="1845"/>
    </row>
    <row r="58" spans="1:16" ht="12.75">
      <c r="A58" s="99" t="s">
        <v>1840</v>
      </c>
      <c r="B58" s="2876" t="s">
        <v>1868</v>
      </c>
      <c r="C58" s="2887"/>
      <c r="D58" s="103">
        <v>0</v>
      </c>
      <c r="E58" s="13" t="s">
        <v>1842</v>
      </c>
      <c r="F58" s="70"/>
      <c r="G58" s="2263"/>
      <c r="H58" s="1022"/>
      <c r="I58" s="1022"/>
      <c r="J58" s="2910">
        <f>IF(AND(J56="",J57=""),4,IF(项目基本情况!I6="上海银行",J57+1,J56+1))</f>
        <v>4</v>
      </c>
      <c r="K58" s="2910" t="s">
        <v>1869</v>
      </c>
      <c r="L58" s="2267" t="s">
        <v>1870</v>
      </c>
      <c r="M58" s="783"/>
      <c r="N58" s="784">
        <f>SUMIF(M53:M57,"&lt;9e307")</f>
        <v>0</v>
      </c>
      <c r="O58" s="2268"/>
      <c r="P58" s="1841" t="e">
        <f>N58/M50</f>
        <v>#VALUE!</v>
      </c>
    </row>
    <row r="59" spans="1:16" ht="24.75">
      <c r="A59" s="99" t="s">
        <v>1851</v>
      </c>
      <c r="B59" s="2876" t="s">
        <v>1871</v>
      </c>
      <c r="C59" s="2877"/>
      <c r="D59" s="101">
        <f>IF(H59="转让取得",C82,C98)</f>
        <v>0</v>
      </c>
      <c r="E59" s="10" t="s">
        <v>1866</v>
      </c>
      <c r="F59" s="14" t="s">
        <v>48</v>
      </c>
      <c r="G59" s="2263"/>
      <c r="H59" s="2266" t="s">
        <v>1872</v>
      </c>
      <c r="I59" s="1022"/>
      <c r="J59" s="2910"/>
      <c r="K59" s="2910"/>
      <c r="L59" s="2267" t="s">
        <v>1873</v>
      </c>
      <c r="M59" s="785"/>
      <c r="N59" s="2269" t="str">
        <f>IF(H19="元",NUMBERSTRING(INT(N58),2)&amp;"元整",NUMBERSTRING(INT(N58*10000),2)&amp;"元整")</f>
        <v>零元整</v>
      </c>
      <c r="O59" s="2270"/>
      <c r="P59" s="1845"/>
    </row>
    <row r="60" spans="1:16" ht="24.75" thickBot="1">
      <c r="A60" s="2802" t="s">
        <v>1874</v>
      </c>
      <c r="B60" s="2805"/>
      <c r="C60" s="2805"/>
      <c r="D60" s="104" t="str">
        <f>IF(H60="非个人房产","——",IF(H60="个人住宅",0,ROUND(D46*I60,0)))</f>
        <v>——</v>
      </c>
      <c r="E60" s="105" t="str">
        <f>IF(H60="非个人房产","——","销售额×税（费）率")</f>
        <v>——</v>
      </c>
      <c r="F60" s="106" t="str">
        <f>IF(H60="非个人房产","——",IF(H60="个人住宅","免征",I60))</f>
        <v>——</v>
      </c>
      <c r="G60" s="2271" t="s">
        <v>1867</v>
      </c>
      <c r="H60" s="2266" t="s">
        <v>1996</v>
      </c>
      <c r="I60" s="107">
        <v>0.01</v>
      </c>
      <c r="J60" s="2908">
        <f>J58+1</f>
        <v>5</v>
      </c>
      <c r="K60" s="2910" t="s">
        <v>1876</v>
      </c>
      <c r="L60" s="1883" t="s">
        <v>1870</v>
      </c>
      <c r="M60" s="786"/>
      <c r="N60" s="787" t="e">
        <f>M50-N58</f>
        <v>#VALUE!</v>
      </c>
      <c r="O60" s="2272"/>
      <c r="P60" s="1845"/>
    </row>
    <row r="61" spans="1:16" ht="12" customHeight="1">
      <c r="A61" s="2068"/>
      <c r="B61" s="2196"/>
      <c r="C61" s="2196"/>
      <c r="D61" s="2196"/>
      <c r="E61" s="1022"/>
      <c r="F61" s="1022"/>
      <c r="G61" s="1022"/>
      <c r="H61" s="2249"/>
      <c r="I61" s="2196"/>
      <c r="J61" s="2909"/>
      <c r="K61" s="2910"/>
      <c r="L61" s="2267" t="s">
        <v>1873</v>
      </c>
      <c r="M61" s="785"/>
      <c r="N61" s="2269" t="e">
        <f>IF(H19="元",NUMBERSTRING(INT(N60),2)&amp;"元整",NUMBERSTRING(INT(N60*10000),2)&amp;"元整")</f>
        <v>#VALUE!</v>
      </c>
      <c r="O61" s="2270"/>
      <c r="P61" s="1845"/>
    </row>
    <row r="62" spans="1:16" ht="13.5" thickBot="1">
      <c r="A62" s="2891" t="s">
        <v>1877</v>
      </c>
      <c r="B62" s="2891"/>
      <c r="C62" s="2891"/>
      <c r="D62" s="2891"/>
      <c r="E62" s="2891"/>
      <c r="F62" s="1022"/>
      <c r="G62" s="1022"/>
      <c r="H62" s="2249"/>
      <c r="I62" s="2196"/>
      <c r="J62" s="1883">
        <f>J60+1</f>
        <v>6</v>
      </c>
      <c r="K62" s="2910" t="s">
        <v>1878</v>
      </c>
      <c r="L62" s="2910"/>
      <c r="M62" s="788"/>
      <c r="N62" s="789" t="e">
        <f>IF(H19="元",ROUND(N60/项目基本情况!C12,0),ROUND(N60*10000/项目基本情况!C12,0))</f>
        <v>#VALUE!</v>
      </c>
      <c r="O62" s="2273"/>
      <c r="P62" s="1845"/>
    </row>
    <row r="63" spans="1:16" ht="12.75">
      <c r="A63" s="2898" t="s">
        <v>1879</v>
      </c>
      <c r="B63" s="2899"/>
      <c r="C63" s="1885"/>
      <c r="D63" s="1885" t="s">
        <v>1880</v>
      </c>
      <c r="E63" s="108" t="s">
        <v>1881</v>
      </c>
      <c r="F63" s="1022"/>
      <c r="G63" s="1022"/>
      <c r="H63" s="2249"/>
      <c r="I63" s="2196"/>
      <c r="J63" s="1845"/>
      <c r="K63" s="1845"/>
      <c r="L63" s="1845"/>
      <c r="M63" s="1845"/>
      <c r="N63" s="1845"/>
      <c r="O63" s="1845"/>
      <c r="P63" s="1845"/>
    </row>
    <row r="64" spans="1:16" ht="12.75">
      <c r="A64" s="109">
        <v>1</v>
      </c>
      <c r="B64" s="110" t="s">
        <v>1882</v>
      </c>
      <c r="C64" s="111">
        <f>ROUND((C65+C66)/(1+'数据-取费表'!F30),0)</f>
        <v>0</v>
      </c>
      <c r="D64" s="112"/>
      <c r="E64" s="113"/>
      <c r="F64" s="1022"/>
      <c r="G64" s="1022"/>
      <c r="H64" s="2249"/>
      <c r="I64" s="2196"/>
      <c r="J64" s="2930" t="s">
        <v>1883</v>
      </c>
      <c r="K64" s="2274"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9"/>
      <c r="I65" s="2196"/>
      <c r="J65" s="2930"/>
      <c r="K65" s="2274"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9"/>
      <c r="I66" s="2196"/>
      <c r="J66" s="2930"/>
      <c r="K66" s="2274"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9"/>
      <c r="I67" s="2196"/>
      <c r="J67" s="2930"/>
      <c r="K67" s="2274"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9"/>
      <c r="I68" s="2196"/>
      <c r="J68" s="2930"/>
      <c r="K68" s="2274"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9"/>
      <c r="I69" s="2196"/>
      <c r="J69" s="2930"/>
      <c r="K69" s="2274" t="s">
        <v>1897</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930"/>
      <c r="K70" s="2274" t="s">
        <v>1898</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2" t="s">
        <v>1899</v>
      </c>
      <c r="B71" s="2903"/>
      <c r="C71" s="2903"/>
      <c r="D71" s="2903"/>
      <c r="E71" s="2903"/>
      <c r="F71" s="2903"/>
      <c r="G71" s="2903"/>
      <c r="H71" s="2903"/>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98" t="s">
        <v>1879</v>
      </c>
      <c r="B72" s="2899"/>
      <c r="C72" s="1885"/>
      <c r="D72" s="1885" t="s">
        <v>1880</v>
      </c>
      <c r="E72" s="130" t="s">
        <v>1881</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1900</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1902</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1903</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1904</v>
      </c>
      <c r="C76" s="137"/>
      <c r="D76" s="117" t="s">
        <v>41</v>
      </c>
      <c r="E76" s="138" t="s">
        <v>1905</v>
      </c>
      <c r="F76" s="2285"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1908</v>
      </c>
      <c r="C77" s="117">
        <f>IF(F76="购房发票",ROUND(C76*H76*D77,0),0)</f>
        <v>0</v>
      </c>
      <c r="D77" s="141">
        <v>0.05</v>
      </c>
      <c r="E77" s="2879" t="s">
        <v>1909</v>
      </c>
      <c r="F77" s="2878"/>
      <c r="G77" s="2878"/>
      <c r="H77" s="2893"/>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6" t="s">
        <v>1912</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1913</v>
      </c>
      <c r="C79" s="144">
        <f>ROUND(D46*D79/(1+'数据-取费表'!F30),0)</f>
        <v>0</v>
      </c>
      <c r="D79" s="145">
        <f>'数据-取费表'!E31</f>
        <v>6.000000000000001E-3</v>
      </c>
      <c r="E79" s="2870" t="s">
        <v>1914</v>
      </c>
      <c r="F79" s="2871"/>
      <c r="G79" s="2871"/>
      <c r="H79" s="287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1915</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2" t="s">
        <v>1918</v>
      </c>
      <c r="B84" s="2903"/>
      <c r="C84" s="2903"/>
      <c r="D84" s="2903"/>
      <c r="E84" s="2903"/>
      <c r="F84" s="2903"/>
      <c r="G84" s="2903"/>
      <c r="H84" s="2903"/>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98" t="s">
        <v>1879</v>
      </c>
      <c r="B85" s="2899"/>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1920</v>
      </c>
      <c r="C89" s="157"/>
      <c r="D89" s="145"/>
      <c r="E89" s="158" t="s">
        <v>1921</v>
      </c>
      <c r="F89" s="1882"/>
      <c r="G89" s="159" t="s">
        <v>1922</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1925</v>
      </c>
      <c r="C92" s="144">
        <f>IF(H92="——",成本法!C33,I92)</f>
        <v>0</v>
      </c>
      <c r="D92" s="145"/>
      <c r="E92" s="2870" t="s">
        <v>1926</v>
      </c>
      <c r="F92" s="2871"/>
      <c r="G92" s="2871"/>
      <c r="H92" s="2289" t="s">
        <v>1927</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1928</v>
      </c>
      <c r="C93" s="144">
        <f>ROUND((C88+C91+C92)*D93,0)</f>
        <v>0</v>
      </c>
      <c r="D93" s="145">
        <v>0.1</v>
      </c>
      <c r="E93" s="2870" t="s">
        <v>1929</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1913</v>
      </c>
      <c r="C94" s="144">
        <f>ROUND(D46*D94/(1+'数据-取费表'!F30),0)</f>
        <v>0</v>
      </c>
      <c r="D94" s="145">
        <f>'数据-取费表'!E31</f>
        <v>6.000000000000001E-3</v>
      </c>
      <c r="E94" s="2870" t="s">
        <v>1914</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1930</v>
      </c>
      <c r="C95" s="144">
        <f>ROUND((C88+C91+C92)*D95,0)</f>
        <v>0</v>
      </c>
      <c r="D95" s="145">
        <v>0.2</v>
      </c>
      <c r="E95" s="2870" t="s">
        <v>1931</v>
      </c>
      <c r="F95" s="2871"/>
      <c r="G95" s="2871"/>
      <c r="H95" s="287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1932</v>
      </c>
      <c r="B99" s="2196"/>
      <c r="C99" s="2196"/>
      <c r="D99" s="2196"/>
      <c r="E99" s="1022"/>
      <c r="F99" s="1022"/>
      <c r="G99" s="1022"/>
      <c r="H99" s="2249"/>
      <c r="I99" s="2196"/>
    </row>
    <row r="100" spans="1:35" ht="15.75">
      <c r="A100" s="2925" t="s">
        <v>1933</v>
      </c>
      <c r="B100" s="2926"/>
      <c r="C100" s="2926"/>
      <c r="D100" s="2927"/>
      <c r="E100" s="2196"/>
      <c r="F100" s="2936" t="s">
        <v>1934</v>
      </c>
      <c r="G100" s="2937"/>
      <c r="H100" s="2937"/>
      <c r="I100" s="2938"/>
    </row>
    <row r="101" spans="1:35" ht="15.75">
      <c r="A101" s="2939" t="s">
        <v>1935</v>
      </c>
      <c r="B101" s="2940"/>
      <c r="C101" s="720">
        <f>C4</f>
        <v>0</v>
      </c>
      <c r="D101" s="721">
        <f>D4</f>
        <v>0</v>
      </c>
      <c r="E101" s="2196"/>
      <c r="F101" s="2835" t="s">
        <v>1936</v>
      </c>
      <c r="G101" s="2836"/>
      <c r="H101" s="2961" t="s">
        <v>1937</v>
      </c>
      <c r="I101" s="2834"/>
    </row>
    <row r="102" spans="1:35" ht="15.75">
      <c r="A102" s="2962" t="s">
        <v>1997</v>
      </c>
      <c r="B102" s="2291" t="str">
        <f>IF(H19="元","总价（元）","总价（万元）")</f>
        <v>总价（元）</v>
      </c>
      <c r="C102" s="720" t="e">
        <f ca="1">C19</f>
        <v>#REF!</v>
      </c>
      <c r="D102" s="721" t="e">
        <f ca="1">D19</f>
        <v>#REF!</v>
      </c>
      <c r="E102" s="2196"/>
      <c r="F102" s="2963"/>
      <c r="G102" s="2964"/>
      <c r="H102" s="2833">
        <f>典型户型修正!B25</f>
        <v>0</v>
      </c>
      <c r="I102" s="2834"/>
    </row>
    <row r="103" spans="1:35" ht="15.75">
      <c r="A103" s="2962"/>
      <c r="B103" s="2291" t="s">
        <v>1939</v>
      </c>
      <c r="C103" s="722" t="e">
        <f ca="1">C20</f>
        <v>#REF!</v>
      </c>
      <c r="D103" s="723" t="e">
        <f ca="1">D20</f>
        <v>#REF!</v>
      </c>
      <c r="E103" s="2196"/>
      <c r="F103" s="2862" t="s">
        <v>1940</v>
      </c>
      <c r="G103" s="2863"/>
      <c r="H103" s="2292" t="str">
        <f>C109</f>
        <v>总价（元）</v>
      </c>
      <c r="I103" s="1862">
        <f>H124</f>
        <v>0</v>
      </c>
    </row>
    <row r="104" spans="1:35" ht="15">
      <c r="A104" s="2962" t="s">
        <v>1998</v>
      </c>
      <c r="B104" s="2293" t="str">
        <f>B102</f>
        <v>总价（元）</v>
      </c>
      <c r="C104" s="1190" t="e">
        <f ca="1">ROUND(IF('数据-取费表'!B4="总价",G19,IF(H19="元",G20*'数据-取费表'!E5,G20*'数据-取费表'!E5/10000)),0)</f>
        <v>#REF!</v>
      </c>
      <c r="D104" s="725"/>
      <c r="E104" s="2196"/>
      <c r="F104" s="2862"/>
      <c r="G104" s="2863"/>
      <c r="H104" s="2292" t="s">
        <v>1939</v>
      </c>
      <c r="I104" s="1050" t="e">
        <f>I124</f>
        <v>#DIV/0!</v>
      </c>
    </row>
    <row r="105" spans="1:35" ht="15.75">
      <c r="A105" s="2962"/>
      <c r="B105" s="2291" t="s">
        <v>1939</v>
      </c>
      <c r="C105" s="1191" t="e">
        <f ca="1">ROUND(IF('数据-取费表'!B4="楼面单价",G20,IF(H19="元",G19/'数据-取费表'!E5,G19*10000/'数据-取费表'!E5)),0)</f>
        <v>#REF!</v>
      </c>
      <c r="D105" s="725"/>
      <c r="E105" s="2196"/>
      <c r="F105" s="2934"/>
      <c r="G105" s="2935"/>
      <c r="H105" s="2919"/>
      <c r="I105" s="2920"/>
    </row>
    <row r="106" spans="1:35" ht="15.75">
      <c r="A106" s="2955" t="s">
        <v>1999</v>
      </c>
      <c r="B106" s="2331" t="str">
        <f>B102</f>
        <v>总价（元）</v>
      </c>
      <c r="C106" s="724">
        <f>H124</f>
        <v>0</v>
      </c>
      <c r="D106" s="1189"/>
      <c r="E106" s="2196"/>
      <c r="F106" s="2923" t="s">
        <v>1943</v>
      </c>
      <c r="G106" s="2924"/>
      <c r="H106" s="2295" t="str">
        <f>C111</f>
        <v>总额（元）</v>
      </c>
      <c r="I106" s="1862">
        <f>SUMIF(I107:I109,"&lt;9E307")</f>
        <v>0</v>
      </c>
    </row>
    <row r="107" spans="1:35" ht="15.75" thickBot="1">
      <c r="A107" s="2918"/>
      <c r="B107" s="2294" t="s">
        <v>1939</v>
      </c>
      <c r="C107" s="726" t="e">
        <f>I124</f>
        <v>#DIV/0!</v>
      </c>
      <c r="D107" s="727"/>
      <c r="E107" s="2196"/>
      <c r="F107" s="2851" t="s">
        <v>1945</v>
      </c>
      <c r="G107" s="2852"/>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8" t="s">
        <v>1942</v>
      </c>
      <c r="B108" s="2959"/>
      <c r="C108" s="2959"/>
      <c r="D108" s="2960"/>
      <c r="E108" s="2196"/>
      <c r="F108" s="2851" t="s">
        <v>1946</v>
      </c>
      <c r="G108" s="2852"/>
      <c r="H108" s="2295" t="str">
        <f>C113</f>
        <v>总额（元）</v>
      </c>
      <c r="I108" s="1050">
        <f>C38</f>
        <v>0</v>
      </c>
      <c r="K108" s="2296"/>
    </row>
    <row r="109" spans="1:35" ht="15">
      <c r="A109" s="2849" t="s">
        <v>2000</v>
      </c>
      <c r="B109" s="2850"/>
      <c r="C109" s="2292" t="str">
        <f>B102</f>
        <v>总价（元）</v>
      </c>
      <c r="D109" s="1051">
        <f>H124</f>
        <v>0</v>
      </c>
      <c r="E109" s="2196"/>
      <c r="F109" s="2851" t="s">
        <v>1948</v>
      </c>
      <c r="G109" s="2852"/>
      <c r="H109" s="2295" t="str">
        <f>C114</f>
        <v>总额（元）</v>
      </c>
      <c r="I109" s="1050">
        <f>C39</f>
        <v>0</v>
      </c>
    </row>
    <row r="110" spans="1:35" ht="15.75">
      <c r="A110" s="2849"/>
      <c r="B110" s="2850"/>
      <c r="C110" s="2292" t="s">
        <v>1939</v>
      </c>
      <c r="D110" s="1052" t="e">
        <f>I124</f>
        <v>#DIV/0!</v>
      </c>
      <c r="E110" s="2196"/>
      <c r="F110" s="2934"/>
      <c r="G110" s="2935"/>
      <c r="H110" s="2921"/>
      <c r="I110" s="2922"/>
    </row>
    <row r="111" spans="1:35" ht="28.5" customHeight="1">
      <c r="A111" s="2856" t="s">
        <v>1947</v>
      </c>
      <c r="B111" s="2857"/>
      <c r="C111" s="2295" t="str">
        <f>IF(H19="元","总额（元）","总额（万元）")</f>
        <v>总额（元）</v>
      </c>
      <c r="D111" s="1051">
        <f>IF(D37="正常操作",I107+I108+I109,I108+I109)</f>
        <v>0</v>
      </c>
      <c r="E111" s="2196"/>
      <c r="F111" s="2837" t="str">
        <f>IF(项目基本情况!F5="已注销","——","3.房地产抵押价值")</f>
        <v>3.房地产抵押价值</v>
      </c>
      <c r="G111" s="2838"/>
      <c r="H111" s="2332" t="str">
        <f>C115</f>
        <v>总价（元）</v>
      </c>
      <c r="I111" s="1862">
        <f>IF(F111="——","——",I103-I106)</f>
        <v>0</v>
      </c>
    </row>
    <row r="112" spans="1:35" ht="15">
      <c r="A112" s="2851" t="s">
        <v>1945</v>
      </c>
      <c r="B112" s="2852"/>
      <c r="C112" s="2295" t="str">
        <f>C111</f>
        <v>总额（元）</v>
      </c>
      <c r="D112" s="637">
        <f>IF(D37="同一抵押权人同一抵押物续贷",C37&amp;"（未扣减，详见特别提示）",C37)</f>
        <v>0</v>
      </c>
      <c r="E112" s="2196"/>
      <c r="F112" s="2953"/>
      <c r="G112" s="2954"/>
      <c r="H112" s="2292" t="s">
        <v>1939</v>
      </c>
      <c r="I112" s="2298" t="e">
        <f>D116</f>
        <v>#DIV/0!</v>
      </c>
    </row>
    <row r="113" spans="1:26" ht="15.75">
      <c r="A113" s="2851" t="s">
        <v>1946</v>
      </c>
      <c r="B113" s="2852"/>
      <c r="C113" s="2295" t="str">
        <f>C111</f>
        <v>总额（元）</v>
      </c>
      <c r="D113" s="637">
        <f>C38</f>
        <v>0</v>
      </c>
      <c r="E113" s="2196"/>
      <c r="F113" s="2837" t="str">
        <f>IF(项目基本情况!F5="已注销及未注销","4.抵押担保权已注销时的房地产抵押价值",IF(项目基本情况!F5="已注销","3.抵押担保权已注销时的房地产抵押价值","——"))</f>
        <v>——</v>
      </c>
      <c r="G113" s="2838"/>
      <c r="H113" s="2332" t="str">
        <f>C117</f>
        <v>总价（元）</v>
      </c>
      <c r="I113" s="1862" t="str">
        <f>IF(F113="——","——",I103-I108-I109)</f>
        <v>——</v>
      </c>
    </row>
    <row r="114" spans="1:26" ht="15">
      <c r="A114" s="2851" t="s">
        <v>1948</v>
      </c>
      <c r="B114" s="2852"/>
      <c r="C114" s="2295" t="str">
        <f>C111</f>
        <v>总额（元）</v>
      </c>
      <c r="D114" s="637">
        <f>C39</f>
        <v>0</v>
      </c>
      <c r="E114" s="2196"/>
      <c r="F114" s="2953"/>
      <c r="G114" s="2954"/>
      <c r="H114" s="2292" t="s">
        <v>1939</v>
      </c>
      <c r="I114" s="1050" t="str">
        <f>D118</f>
        <v>——</v>
      </c>
    </row>
    <row r="115" spans="1:26" ht="15.75">
      <c r="A115" s="2849" t="str">
        <f>IF(项目基本情况!F5="已注销","——","3.房地产抵押价值")</f>
        <v>3.房地产抵押价值</v>
      </c>
      <c r="B115" s="2850"/>
      <c r="C115" s="2292" t="str">
        <f>B102</f>
        <v>总价（元）</v>
      </c>
      <c r="D115" s="1051">
        <f>IF(A115="——","——",D109-D111)</f>
        <v>0</v>
      </c>
      <c r="E115" s="2196"/>
      <c r="F115" s="2837" t="str">
        <f>IF(项目基本情况!G5="抵押净值",IF(OR(项目基本情况!F5="已注销",项目基本情况!F5="房地产抵押价值"),"4.抵押净值","5.抵押净值"),"——")</f>
        <v>——</v>
      </c>
      <c r="G115" s="2838"/>
      <c r="H115" s="2292" t="str">
        <f>C119</f>
        <v>总价（元）</v>
      </c>
      <c r="I115" s="1862" t="str">
        <f>IF(F115="——","——",N60)</f>
        <v>——</v>
      </c>
    </row>
    <row r="116" spans="1:26" ht="15.75" thickBot="1">
      <c r="A116" s="2849"/>
      <c r="B116" s="2850"/>
      <c r="C116" s="2292" t="s">
        <v>2001</v>
      </c>
      <c r="D116" s="1052" t="e">
        <f>ROUND(IF(D115=D109,D110,IF(H19="元",D115/B124,D115*10000/B124)),0)</f>
        <v>#DIV/0!</v>
      </c>
      <c r="E116" s="2196"/>
      <c r="F116" s="2839"/>
      <c r="G116" s="2840"/>
      <c r="H116" s="2300" t="s">
        <v>2001</v>
      </c>
      <c r="I116" s="1864" t="str">
        <f>D120</f>
        <v>——</v>
      </c>
    </row>
    <row r="117" spans="1:26" ht="15.75">
      <c r="A117" s="2849" t="str">
        <f>IF(项目基本情况!F5="已注销及未注销","4.抵押担保权已注销时的房地产抵押价值",IF(项目基本情况!F5="已注销","3.抵押担保权已注销时的房地产抵押价值","——"))</f>
        <v>——</v>
      </c>
      <c r="B117" s="2850"/>
      <c r="C117" s="2292" t="str">
        <f>B102</f>
        <v>总价（元）</v>
      </c>
      <c r="D117" s="1051" t="str">
        <f>IF(A117="——","——",D109-D113-D114)</f>
        <v>——</v>
      </c>
      <c r="E117" s="2196"/>
      <c r="F117" s="2949"/>
      <c r="G117" s="2949"/>
      <c r="H117" s="2905"/>
      <c r="I117" s="2905"/>
      <c r="N117" s="55"/>
      <c r="O117" s="55"/>
    </row>
    <row r="118" spans="1:26" s="1845" customFormat="1" ht="15">
      <c r="A118" s="2849"/>
      <c r="B118" s="2850"/>
      <c r="C118" s="2292" t="s">
        <v>2001</v>
      </c>
      <c r="D118" s="1052" t="str">
        <f>IF(A117="——","——",IF(H19="元",ROUND(D117/B124,0),ROUND(D117*10000/B124,0)))</f>
        <v>——</v>
      </c>
      <c r="E118" s="2196"/>
      <c r="F118" s="2957" t="str">
        <f>IF(B32="总价","（以上估价结果中楼面单价为总价除以建筑面积得出）","（以上估价结果中总价为楼面单价乘以建筑面积得出）")</f>
        <v>（以上估价结果中总价为楼面单价乘以建筑面积得出）</v>
      </c>
      <c r="G118" s="2957"/>
      <c r="H118" s="2957"/>
      <c r="I118" s="2957"/>
      <c r="J118" s="798"/>
      <c r="K118" s="798"/>
      <c r="L118" s="798"/>
      <c r="M118" s="798"/>
      <c r="N118" s="55"/>
      <c r="O118" s="55"/>
      <c r="P118" s="798"/>
      <c r="Q118" s="798"/>
      <c r="R118" s="798"/>
      <c r="S118" s="798"/>
      <c r="T118" s="798"/>
      <c r="U118" s="798"/>
      <c r="V118" s="798"/>
      <c r="W118" s="798"/>
      <c r="X118" s="798"/>
      <c r="Y118" s="798"/>
      <c r="Z118" s="798"/>
    </row>
    <row r="119" spans="1:26" s="1845" customFormat="1" ht="15">
      <c r="A119" s="2849" t="str">
        <f>IF(项目基本情况!G5="抵押净值",IF(OR(项目基本情况!F5="已注销",项目基本情况!F5="房地产抵押价值"),"4.抵押净值","5.抵押净值"),"——")</f>
        <v>——</v>
      </c>
      <c r="B119" s="2850"/>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4"/>
      <c r="B120" s="2855"/>
      <c r="C120" s="2300" t="s">
        <v>2001</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06" t="s">
        <v>2002</v>
      </c>
      <c r="B121" s="2907"/>
      <c r="C121" s="2907"/>
      <c r="D121" s="2907"/>
      <c r="E121" s="2907"/>
      <c r="F121" s="2907"/>
      <c r="G121" s="2907"/>
      <c r="H121" s="2907"/>
      <c r="I121" s="290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0" t="s">
        <v>1950</v>
      </c>
      <c r="B122" s="2860" t="s">
        <v>2003</v>
      </c>
      <c r="C122" s="2860" t="s">
        <v>2004</v>
      </c>
      <c r="D122" s="2932" t="s">
        <v>1953</v>
      </c>
      <c r="E122" s="2933"/>
      <c r="F122" s="2831" t="s">
        <v>2005</v>
      </c>
      <c r="G122" s="2831"/>
      <c r="H122" s="2831" t="s">
        <v>1954</v>
      </c>
      <c r="I122" s="293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0"/>
      <c r="B123" s="2861"/>
      <c r="C123" s="286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0" t="s">
        <v>1958</v>
      </c>
      <c r="B125" s="2831"/>
      <c r="C125" s="2831"/>
      <c r="D125" s="2864" t="str">
        <f>IF(H19="元",NUMBERSTRING(INT(D124),2)&amp;"元整",NUMBERSTRING(INT(D124*10000),2)&amp;"元整")</f>
        <v>零元整</v>
      </c>
      <c r="E125" s="2911"/>
      <c r="F125" s="2864" t="str">
        <f>IF(H19="元",NUMBERSTRING(INT(F124),2)&amp;"元整",NUMBERSTRING(INT(F124*10000),2)&amp;"元整")</f>
        <v>零元整</v>
      </c>
      <c r="G125" s="2911"/>
      <c r="H125" s="2864" t="str">
        <f>IF(H19="元",NUMBERSTRING(INT(H124),2)&amp;"元整",NUMBERSTRING(INT(H124*10000),2)&amp;"元整")</f>
        <v>零元整</v>
      </c>
      <c r="I125" s="28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2" t="str">
        <f>IF(项目基本情况!D5="房地产市场价值","——",MID(A111,3,LEN(A111)-2))</f>
        <v>估价师所知悉的法定优先受偿款</v>
      </c>
      <c r="B126" s="2842"/>
      <c r="C126" s="2913"/>
      <c r="D126" s="2841">
        <f>I106</f>
        <v>0</v>
      </c>
      <c r="E126" s="2842"/>
      <c r="F126" s="2842"/>
      <c r="G126" s="2842"/>
      <c r="H126" s="2842"/>
      <c r="I126" s="284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4" t="s">
        <v>1958</v>
      </c>
      <c r="B127" s="2915"/>
      <c r="C127" s="2916"/>
      <c r="D127" s="2844">
        <f>H110</f>
        <v>0</v>
      </c>
      <c r="E127" s="2845"/>
      <c r="F127" s="2845"/>
      <c r="G127" s="2845"/>
      <c r="H127" s="2845"/>
      <c r="I127" s="284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7" t="str">
        <f>IF(项目基本情况!D5="房地产市场价值","——",MID(A115,3,LEN(A115)-2))</f>
        <v>房地产抵押价值</v>
      </c>
      <c r="B128" s="2848"/>
      <c r="C128" s="2848"/>
      <c r="D128" s="2841">
        <f>I111</f>
        <v>0</v>
      </c>
      <c r="E128" s="2842"/>
      <c r="F128" s="2842"/>
      <c r="G128" s="2842"/>
      <c r="H128" s="2842"/>
      <c r="I128" s="284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0" t="s">
        <v>1958</v>
      </c>
      <c r="B129" s="2831"/>
      <c r="C129" s="2831"/>
      <c r="D129" s="2844" t="e">
        <f>I112</f>
        <v>#DIV/0!</v>
      </c>
      <c r="E129" s="2845"/>
      <c r="F129" s="2845"/>
      <c r="G129" s="2845"/>
      <c r="H129" s="2845"/>
      <c r="I129" s="284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7" t="str">
        <f>IF(项目基本情况!D5="房地产市场价值","——",MID(A117,3,LEN(A117)-2))</f>
        <v/>
      </c>
      <c r="B130" s="2848"/>
      <c r="C130" s="2848"/>
      <c r="D130" s="2946" t="str">
        <f>I113</f>
        <v>——</v>
      </c>
      <c r="E130" s="2947"/>
      <c r="F130" s="2947"/>
      <c r="G130" s="2947"/>
      <c r="H130" s="2947"/>
      <c r="I130" s="29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0" t="s">
        <v>1958</v>
      </c>
      <c r="B131" s="2831"/>
      <c r="C131" s="2832"/>
      <c r="D131" s="2904" t="str">
        <f>I114</f>
        <v>——</v>
      </c>
      <c r="E131" s="2904"/>
      <c r="F131" s="2904"/>
      <c r="G131" s="2904"/>
      <c r="H131" s="2904"/>
      <c r="I131" s="290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7" t="str">
        <f>IF(项目基本情况!D5="房地产市场价值","——",MID(F115,3,LEN(F115)-2))</f>
        <v/>
      </c>
      <c r="B132" s="2848"/>
      <c r="C132" s="2841"/>
      <c r="D132" s="2853" t="str">
        <f>I115</f>
        <v>——</v>
      </c>
      <c r="E132" s="2853"/>
      <c r="F132" s="2853"/>
      <c r="G132" s="2853"/>
      <c r="H132" s="2853"/>
      <c r="I132" s="285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8" t="s">
        <v>1958</v>
      </c>
      <c r="B133" s="2859"/>
      <c r="C133" s="2859"/>
      <c r="D133" s="2866">
        <f>H117</f>
        <v>0</v>
      </c>
      <c r="E133" s="2867"/>
      <c r="F133" s="2867"/>
      <c r="G133" s="2867"/>
      <c r="H133" s="2867"/>
      <c r="I133" s="28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8" t="str">
        <f>IF(B32="总价","（以上估价结果中楼面单价为总价除以建筑面积得出）","（以上估价结果中总价为楼面单价乘以建筑面积得出）")</f>
        <v>（以上估价结果中总价为楼面单价乘以建筑面积得出）</v>
      </c>
      <c r="B135" s="2828"/>
      <c r="C135" s="2828"/>
      <c r="D135" s="2828"/>
      <c r="E135" s="2828"/>
      <c r="F135" s="2828"/>
      <c r="G135" s="2828"/>
      <c r="H135" s="2828"/>
      <c r="I135" s="282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1959</v>
      </c>
      <c r="B136" s="2302"/>
      <c r="C136" s="2303" t="s">
        <v>1960</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1961</v>
      </c>
      <c r="G142" s="2315"/>
      <c r="H142" s="2315"/>
      <c r="I142" s="2316"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D30" sqref="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2828</v>
      </c>
      <c r="C1" s="162"/>
      <c r="D1" s="162"/>
      <c r="E1" s="162"/>
      <c r="F1" s="162"/>
      <c r="G1" s="163"/>
    </row>
    <row r="2" spans="1:7" s="164" customFormat="1" ht="18" customHeight="1">
      <c r="A2" s="165" t="s">
        <v>2007</v>
      </c>
      <c r="B2" s="166">
        <f ca="1">IF(D2="——",IF(C2="元",C52,ROUND(C52/10000,0)),IF(C2="元",C52,ROUND(C52/10000,0))-E2)</f>
        <v>22904841</v>
      </c>
      <c r="C2" s="163" t="str">
        <f>'数据-取费表'!B3</f>
        <v>元</v>
      </c>
      <c r="D2" s="2334" t="s">
        <v>1250</v>
      </c>
      <c r="E2" s="1546" t="e">
        <f ca="1">SUMIF(INDIRECT("'"&amp;G2&amp;"'"&amp;"!A:A"),"承租人权益价值",INDIRECT("'"&amp;G2&amp;"'"&amp;"!c:c"))</f>
        <v>#REF!</v>
      </c>
      <c r="F2" s="2335" t="str">
        <f>C2</f>
        <v>元</v>
      </c>
      <c r="G2" s="1906"/>
    </row>
    <row r="3" spans="1:7" s="164" customFormat="1" ht="18" customHeight="1" thickBot="1">
      <c r="A3" s="167" t="s">
        <v>2008</v>
      </c>
      <c r="B3" s="168">
        <f ca="1">ROUND(C52/IF(B1="仅计算典型户型",'数据-取费表'!E5,'数据-取费表'!B5),0)</f>
        <v>33216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13496518</v>
      </c>
      <c r="D5" s="195" t="s">
        <v>2013</v>
      </c>
      <c r="E5" s="1532" t="s">
        <v>2014</v>
      </c>
      <c r="F5" s="1532" t="s">
        <v>2015</v>
      </c>
      <c r="G5" s="174"/>
    </row>
    <row r="6" spans="1:7" s="175" customFormat="1" ht="13.5" customHeight="1">
      <c r="A6" s="176" t="s">
        <v>2016</v>
      </c>
      <c r="B6" s="177" t="s">
        <v>2017</v>
      </c>
      <c r="C6" s="1531">
        <f ca="1">基准地价修正!C26</f>
        <v>12963226</v>
      </c>
      <c r="D6" s="1533"/>
      <c r="E6" s="1534"/>
      <c r="F6" s="1534"/>
      <c r="G6" s="179"/>
    </row>
    <row r="7" spans="1:7" s="175" customFormat="1" ht="13.5" customHeight="1">
      <c r="A7" s="176" t="s">
        <v>2018</v>
      </c>
      <c r="B7" s="177" t="s">
        <v>2019</v>
      </c>
      <c r="C7" s="199">
        <f ca="1">ROUND(C6*F7,0)</f>
        <v>395378</v>
      </c>
      <c r="D7" s="199"/>
      <c r="E7" s="1534"/>
      <c r="F7" s="1535">
        <f>'数据-取费表'!E36+'数据-取费表'!E37</f>
        <v>3.0499999999999999E-2</v>
      </c>
      <c r="G7" s="179"/>
    </row>
    <row r="8" spans="1:7" s="180" customFormat="1">
      <c r="A8" s="176" t="s">
        <v>2020</v>
      </c>
      <c r="B8" s="177" t="s">
        <v>2021</v>
      </c>
      <c r="C8" s="199">
        <f>IF(G8="已包含在土地购买价格中","0",'数据-取费表'!E13)</f>
        <v>137914</v>
      </c>
      <c r="D8" s="1536"/>
      <c r="E8" s="199"/>
      <c r="F8" s="1535"/>
      <c r="G8" s="2336" t="s">
        <v>2838</v>
      </c>
    </row>
    <row r="9" spans="1:7" s="175" customFormat="1" ht="13.5" customHeight="1">
      <c r="A9" s="1304" t="s">
        <v>951</v>
      </c>
      <c r="B9" s="181" t="s">
        <v>2022</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952</v>
      </c>
      <c r="B10" s="181" t="s">
        <v>2023</v>
      </c>
      <c r="C10" s="1537">
        <f>ROUND(D10*E10,0)</f>
        <v>137914</v>
      </c>
      <c r="D10" s="1538">
        <f>IF('数据-取费表'!B10&lt;&gt;"住宅",IF(B1="仅计算典型户型",'数据-取费表'!E5,'数据-取费表'!B5),0)</f>
        <v>689.57</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689.57</v>
      </c>
      <c r="E19" s="195">
        <f>'数据-取费表'!E15</f>
        <v>0</v>
      </c>
      <c r="F19" s="196"/>
      <c r="G19" s="2336" t="s">
        <v>2837</v>
      </c>
    </row>
    <row r="20" spans="1:7" s="175" customFormat="1" ht="13.5" customHeight="1">
      <c r="A20" s="204" t="s">
        <v>2035</v>
      </c>
      <c r="B20" s="173" t="s">
        <v>2036</v>
      </c>
      <c r="C20" s="183">
        <f ca="1">ROUND((C5+C19)*F20,0)</f>
        <v>404896</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987297</v>
      </c>
      <c r="D22" s="185">
        <f ca="1">C26</f>
        <v>1.1000000000000001E-3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972957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14340</v>
      </c>
      <c r="D25" s="188"/>
      <c r="E25" s="191"/>
      <c r="F25" s="189"/>
      <c r="G25" s="192" t="s">
        <v>2050</v>
      </c>
    </row>
    <row r="26" spans="1:7" s="175" customFormat="1">
      <c r="A26" s="176" t="s">
        <v>2051</v>
      </c>
      <c r="B26" s="177" t="s">
        <v>2052</v>
      </c>
      <c r="C26" s="188">
        <f ca="1">ROUND(IF('数据-取费表'!B23&lt;=1,F21*F22*'数据-取费表'!B24/2,F21*(POWER((1+F22),'数据-取费表'!B24/2)-1)),4)</f>
        <v>1.1000000000000001E-3</v>
      </c>
      <c r="D26" s="188"/>
      <c r="E26" s="191"/>
      <c r="F26" s="189"/>
      <c r="G26" s="193"/>
    </row>
    <row r="27" spans="1:7" s="175" customFormat="1" ht="25.5">
      <c r="A27" s="1305" t="s">
        <v>2053</v>
      </c>
      <c r="B27" s="194" t="s">
        <v>2054</v>
      </c>
      <c r="C27" s="195">
        <f ca="1">C28</f>
        <v>3475354</v>
      </c>
      <c r="D27" s="185">
        <f>C29</f>
        <v>7.4999999999999997E-3</v>
      </c>
      <c r="E27" s="186" t="s">
        <v>2040</v>
      </c>
      <c r="F27" s="196">
        <f>'数据-取费表'!E28</f>
        <v>0.25</v>
      </c>
      <c r="G27" s="197" t="s">
        <v>2055</v>
      </c>
    </row>
    <row r="28" spans="1:7" s="175" customFormat="1" ht="13.5" customHeight="1">
      <c r="A28" s="176" t="s">
        <v>2044</v>
      </c>
      <c r="B28" s="198" t="s">
        <v>2056</v>
      </c>
      <c r="C28" s="199">
        <f ca="1">ROUND((C5+C19+C20)*F27*'数据-取费表'!B22/'数据-取费表'!B21,0)</f>
        <v>3475354</v>
      </c>
      <c r="D28" s="185"/>
      <c r="E28" s="186"/>
      <c r="F28" s="196"/>
      <c r="G28" s="197"/>
    </row>
    <row r="29" spans="1:7" s="175" customFormat="1" ht="13.5" customHeight="1">
      <c r="A29" s="176" t="s">
        <v>2018</v>
      </c>
      <c r="B29" s="198" t="s">
        <v>2057</v>
      </c>
      <c r="C29" s="188">
        <f>ROUND(C21*F27*'数据-取费表'!B22/'数据-取费表'!B21,4)</f>
        <v>7.4999999999999997E-3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20222514</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2299716</v>
      </c>
      <c r="D33" s="183"/>
      <c r="E33" s="1532"/>
      <c r="F33" s="191"/>
      <c r="G33" s="184"/>
    </row>
    <row r="34" spans="1:7" s="206" customFormat="1" ht="13.5" customHeight="1">
      <c r="A34" s="176" t="s">
        <v>2044</v>
      </c>
      <c r="B34" s="177" t="s">
        <v>2066</v>
      </c>
      <c r="C34" s="199">
        <f>IF(B1="仅计算典型户型",'数据-取费表'!F18,'数据-取费表'!E18)</f>
        <v>2068710</v>
      </c>
      <c r="D34" s="1533"/>
      <c r="E34" s="199"/>
      <c r="F34" s="1544" t="str">
        <f>IF('数据-取费表'!B25=0,"",'数据-取费表'!E20)</f>
        <v/>
      </c>
      <c r="G34" s="179"/>
    </row>
    <row r="35" spans="1:7" ht="13.5" customHeight="1">
      <c r="A35" s="176" t="s">
        <v>2018</v>
      </c>
      <c r="B35" s="177" t="s">
        <v>2067</v>
      </c>
      <c r="C35" s="199">
        <f>ROUND(C34*F35,0)</f>
        <v>62061</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137914</v>
      </c>
      <c r="D37" s="1533">
        <f>IF(B1="仅计算典型户型",'数据-取费表'!E5,'数据-取费表'!B5)</f>
        <v>689.57</v>
      </c>
      <c r="E37" s="199">
        <f>'数据-取费表'!E23</f>
        <v>200</v>
      </c>
      <c r="F37" s="1545"/>
      <c r="G37" s="208" t="s">
        <v>2072</v>
      </c>
    </row>
    <row r="38" spans="1:7" ht="13.5" customHeight="1">
      <c r="A38" s="176" t="s">
        <v>2073</v>
      </c>
      <c r="B38" s="177" t="s">
        <v>2074</v>
      </c>
      <c r="C38" s="199">
        <f>ROUND(C34*F38,0)</f>
        <v>31031</v>
      </c>
      <c r="D38" s="199"/>
      <c r="E38" s="199"/>
      <c r="F38" s="1545">
        <f>'数据-取费表'!E24</f>
        <v>1.4999999999999999E-2</v>
      </c>
      <c r="G38" s="179" t="s">
        <v>2068</v>
      </c>
    </row>
    <row r="39" spans="1:7" s="175" customFormat="1" ht="13.5" customHeight="1">
      <c r="A39" s="204" t="s">
        <v>2033</v>
      </c>
      <c r="B39" s="173" t="s">
        <v>2036</v>
      </c>
      <c r="C39" s="183">
        <f>ROUND(C33*F20,0)</f>
        <v>68991</v>
      </c>
      <c r="D39" s="183"/>
      <c r="E39" s="183"/>
      <c r="F39" s="187"/>
      <c r="G39" s="184" t="s">
        <v>2075</v>
      </c>
    </row>
    <row r="40" spans="1:7" s="175" customFormat="1" ht="13.5" customHeight="1">
      <c r="A40" s="204" t="s">
        <v>2035</v>
      </c>
      <c r="B40" s="173" t="s">
        <v>2039</v>
      </c>
      <c r="C40" s="1819">
        <f>F21</f>
        <v>0.03</v>
      </c>
      <c r="D40" s="186" t="s">
        <v>2076</v>
      </c>
      <c r="E40" s="183"/>
      <c r="F40" s="187"/>
      <c r="G40" s="184" t="s">
        <v>2077</v>
      </c>
    </row>
    <row r="41" spans="1:7" s="175" customFormat="1" ht="13.5" customHeight="1">
      <c r="A41" s="204" t="s">
        <v>2038</v>
      </c>
      <c r="B41" s="173" t="s">
        <v>2043</v>
      </c>
      <c r="C41" s="183">
        <f ca="1">ROUND(SUM(C42:C43),0)</f>
        <v>83893</v>
      </c>
      <c r="D41" s="185">
        <f ca="1">C44</f>
        <v>1.1000000000000001E-3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81450</v>
      </c>
      <c r="D42" s="188"/>
      <c r="E42" s="188"/>
      <c r="F42" s="189"/>
      <c r="G42" s="2967" t="s">
        <v>2078</v>
      </c>
    </row>
    <row r="43" spans="1:7" ht="13.5" customHeight="1">
      <c r="A43" s="176" t="s">
        <v>2018</v>
      </c>
      <c r="B43" s="177" t="s">
        <v>2047</v>
      </c>
      <c r="C43" s="188">
        <f ca="1">ROUND(IF('数据-取费表'!B23&lt;=1,C39*F22*'数据-取费表'!B22/2,C39*(POWER((1+F22),'数据-取费表'!B22/2)-1)),0)</f>
        <v>2443</v>
      </c>
      <c r="D43" s="188"/>
      <c r="E43" s="188"/>
      <c r="F43" s="189"/>
      <c r="G43" s="2968"/>
    </row>
    <row r="44" spans="1:7" ht="13.5" customHeight="1">
      <c r="A44" s="176" t="s">
        <v>2020</v>
      </c>
      <c r="B44" s="177" t="s">
        <v>2049</v>
      </c>
      <c r="C44" s="188">
        <f ca="1">ROUND(IF('数据-取费表'!B23&lt;=1,C40*F22*'数据-取费表'!B22/2,C40*(POWER((1+F22),'数据-取费表'!B22/2)-1)),4)</f>
        <v>1.1000000000000001E-3</v>
      </c>
      <c r="D44" s="188"/>
      <c r="E44" s="188"/>
      <c r="F44" s="189"/>
      <c r="G44" s="2969"/>
    </row>
    <row r="45" spans="1:7" s="175" customFormat="1" ht="13.5" customHeight="1">
      <c r="A45" s="204" t="s">
        <v>2042</v>
      </c>
      <c r="B45" s="194" t="s">
        <v>2054</v>
      </c>
      <c r="C45" s="195">
        <f>C46</f>
        <v>592177</v>
      </c>
      <c r="D45" s="185">
        <f>C47</f>
        <v>7.4999999999999997E-3</v>
      </c>
      <c r="E45" s="186" t="s">
        <v>2076</v>
      </c>
      <c r="F45" s="196"/>
      <c r="G45" s="197" t="s">
        <v>2079</v>
      </c>
    </row>
    <row r="46" spans="1:7" s="175" customFormat="1" ht="13.5" customHeight="1">
      <c r="A46" s="176" t="s">
        <v>2044</v>
      </c>
      <c r="B46" s="198" t="s">
        <v>2080</v>
      </c>
      <c r="C46" s="199">
        <f>ROUND((C33+C39)*F27,0)</f>
        <v>592177</v>
      </c>
      <c r="D46" s="209"/>
      <c r="E46" s="186"/>
      <c r="F46" s="196"/>
      <c r="G46" s="197"/>
    </row>
    <row r="47" spans="1:7" s="175" customFormat="1" ht="13.5" customHeight="1">
      <c r="A47" s="176" t="s">
        <v>2018</v>
      </c>
      <c r="B47" s="198" t="s">
        <v>2081</v>
      </c>
      <c r="C47" s="188">
        <f>ROUND(C40*F27,4)</f>
        <v>7.4999999999999997E-3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3352909</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2682327</v>
      </c>
      <c r="D51" s="183"/>
      <c r="E51" s="183"/>
      <c r="F51" s="210"/>
      <c r="G51" s="184" t="s">
        <v>2092</v>
      </c>
    </row>
    <row r="52" spans="1:7" s="172" customFormat="1" ht="16.5" thickBot="1">
      <c r="A52" s="211" t="s">
        <v>2093</v>
      </c>
      <c r="B52" s="212"/>
      <c r="C52" s="213">
        <f ca="1">C31+C51</f>
        <v>22904841</v>
      </c>
      <c r="D52" s="212"/>
      <c r="E52" s="212"/>
      <c r="F52" s="212"/>
      <c r="G52" s="214"/>
    </row>
    <row r="55" spans="1:7" ht="15">
      <c r="B55" s="216" t="s">
        <v>2094</v>
      </c>
      <c r="C55" s="217"/>
    </row>
    <row r="56" spans="1:7">
      <c r="B56" s="219" t="s">
        <v>2095</v>
      </c>
      <c r="C56" s="220">
        <f ca="1">ROUND(C51/C52,3)</f>
        <v>0.11700000000000001</v>
      </c>
    </row>
    <row r="57" spans="1:7">
      <c r="B57" s="219" t="s">
        <v>2096</v>
      </c>
      <c r="C57" s="221">
        <f ca="1">1-C56</f>
        <v>0.88300000000000001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1" t="s">
        <v>1299</v>
      </c>
      <c r="D1" s="1452"/>
      <c r="E1" s="1211"/>
      <c r="F1" s="1211"/>
      <c r="G1" s="1211"/>
      <c r="H1" s="1211"/>
      <c r="I1" s="1211"/>
      <c r="J1" s="1211"/>
      <c r="K1" s="1211"/>
    </row>
    <row r="2" spans="1:33" s="223" customFormat="1" ht="18" customHeight="1">
      <c r="A2" s="165" t="s">
        <v>1300</v>
      </c>
      <c r="B2" s="168">
        <f ca="1">IF(C2="元",C32,ROUND(C32/10000,0))</f>
        <v>138042</v>
      </c>
      <c r="C2" s="1969" t="str">
        <f>'数据-取费表'!B3</f>
        <v>元</v>
      </c>
      <c r="D2" s="1211"/>
      <c r="E2" s="1211"/>
      <c r="F2" s="1211"/>
      <c r="G2" s="1211"/>
      <c r="H2" s="1211"/>
      <c r="I2" s="1211"/>
      <c r="J2" s="1211"/>
      <c r="K2" s="1211"/>
    </row>
    <row r="3" spans="1:33" s="223" customFormat="1" ht="18" customHeight="1" thickBot="1">
      <c r="A3" s="167" t="s">
        <v>1301</v>
      </c>
      <c r="B3" s="168" t="e">
        <f ca="1">ROUND(C32/IF(C1="仅计算典型户型",'数据-取费表'!E5,'数据-取费表'!B5),0)</f>
        <v>#DIV/0!</v>
      </c>
      <c r="C3" s="1969" t="s">
        <v>1302</v>
      </c>
      <c r="D3" s="1211"/>
      <c r="E3" s="1211"/>
      <c r="F3" s="1211"/>
      <c r="G3" s="1211"/>
      <c r="H3" s="1211"/>
      <c r="I3" s="1211"/>
      <c r="J3" s="1211"/>
      <c r="K3" s="1211"/>
    </row>
    <row r="4" spans="1:33" s="227" customFormat="1" ht="16.5" customHeight="1">
      <c r="A4" s="224" t="s">
        <v>1303</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1306</v>
      </c>
      <c r="B6" s="231" t="s">
        <v>1307</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1310</v>
      </c>
      <c r="B8" s="231" t="s">
        <v>1311</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1331</v>
      </c>
      <c r="B18" s="246" t="s">
        <v>1332</v>
      </c>
      <c r="C18" s="14">
        <f>C19+C20-'数据-取费表'!E13</f>
        <v>-137914</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1306</v>
      </c>
      <c r="B21" s="261" t="s">
        <v>1336</v>
      </c>
      <c r="C21" s="262">
        <f>C16+C17+C18</f>
        <v>-137914</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1308</v>
      </c>
      <c r="B22" s="261" t="s">
        <v>1338</v>
      </c>
      <c r="C22" s="262">
        <f>ROUND(C21*F22,0)</f>
        <v>-4137</v>
      </c>
      <c r="D22" s="264"/>
      <c r="E22" s="264"/>
      <c r="F22" s="265">
        <f>'数据-取费表'!E25</f>
        <v>0.03</v>
      </c>
      <c r="G22" s="240" t="s">
        <v>1339</v>
      </c>
      <c r="H22" s="243"/>
      <c r="I22" s="243"/>
      <c r="J22" s="243"/>
      <c r="K22" s="244"/>
      <c r="L22" s="266"/>
      <c r="M22" s="266"/>
      <c r="N22" s="266"/>
    </row>
    <row r="23" spans="1:33" s="250" customFormat="1" ht="13.5" customHeight="1">
      <c r="A23" s="1306"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6"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6"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7"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6" t="s">
        <v>1352</v>
      </c>
      <c r="B28" s="282" t="s">
        <v>1353</v>
      </c>
      <c r="C28" s="283">
        <f>C30</f>
        <v>-35513</v>
      </c>
      <c r="D28" s="267">
        <f>C29</f>
        <v>0.25729999999999997</v>
      </c>
      <c r="E28" s="273" t="s">
        <v>12</v>
      </c>
      <c r="F28" s="284">
        <f>'数据-取费表'!E28</f>
        <v>0.25</v>
      </c>
      <c r="G28" s="269"/>
      <c r="H28" s="270"/>
      <c r="I28" s="270"/>
      <c r="J28" s="270"/>
      <c r="K28" s="271"/>
    </row>
    <row r="29" spans="1:33" s="288" customFormat="1" ht="13.5" customHeight="1">
      <c r="A29" s="1307" t="s">
        <v>1354</v>
      </c>
      <c r="B29" s="286" t="s">
        <v>1355</v>
      </c>
      <c r="C29" s="277">
        <f>ROUND((1+C24)*F28,4)</f>
        <v>0.25729999999999997</v>
      </c>
      <c r="D29" s="277"/>
      <c r="E29" s="278"/>
      <c r="F29" s="287"/>
      <c r="G29" s="231" t="s">
        <v>1356</v>
      </c>
      <c r="H29" s="254"/>
      <c r="I29" s="254"/>
      <c r="J29" s="254"/>
      <c r="K29" s="255"/>
    </row>
    <row r="30" spans="1:33" s="288" customFormat="1" ht="13.5" customHeight="1">
      <c r="A30" s="1307" t="s">
        <v>1357</v>
      </c>
      <c r="B30" s="286" t="s">
        <v>1358</v>
      </c>
      <c r="C30" s="289">
        <f>ROUND((C21+C22+C23)*F28,0)</f>
        <v>-35513</v>
      </c>
      <c r="D30" s="277"/>
      <c r="E30" s="290"/>
      <c r="F30" s="287"/>
      <c r="G30" s="231"/>
      <c r="H30" s="254"/>
      <c r="I30" s="254"/>
      <c r="J30" s="254"/>
      <c r="K30" s="255"/>
    </row>
    <row r="31" spans="1:33" s="266" customFormat="1" ht="13.5" customHeight="1" thickBot="1">
      <c r="A31" s="1971"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138042</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35" sqref="D3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2828</v>
      </c>
      <c r="E1" s="2706"/>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15827767</v>
      </c>
      <c r="C2" s="2337"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22953</v>
      </c>
      <c r="C3" s="2337"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1136866</v>
      </c>
      <c r="D5" s="2338" t="s">
        <v>2106</v>
      </c>
      <c r="E5" s="1214"/>
      <c r="F5" s="1383"/>
      <c r="G5" s="1238"/>
      <c r="H5" s="316">
        <v>1</v>
      </c>
      <c r="I5" s="317" t="s">
        <v>2105</v>
      </c>
      <c r="J5" s="318">
        <f ca="1">J6+J10+J12</f>
        <v>0</v>
      </c>
      <c r="K5" s="2338" t="s">
        <v>2106</v>
      </c>
      <c r="L5" s="1214"/>
      <c r="M5" s="1383"/>
    </row>
    <row r="6" spans="1:37" ht="18" customHeight="1">
      <c r="A6" s="1384" t="s">
        <v>2107</v>
      </c>
      <c r="B6" s="2025" t="s">
        <v>2108</v>
      </c>
      <c r="C6" s="318">
        <f>ROUND(F6*F8*F7*(1-F9),0)</f>
        <v>1132619</v>
      </c>
      <c r="D6" s="80" t="s">
        <v>2801</v>
      </c>
      <c r="E6" s="319" t="s">
        <v>2109</v>
      </c>
      <c r="F6" s="320">
        <f>'数据-取费表'!B29</f>
        <v>5</v>
      </c>
      <c r="G6" s="1238"/>
      <c r="H6" s="1384" t="s">
        <v>2107</v>
      </c>
      <c r="I6" s="2025" t="s">
        <v>2108</v>
      </c>
      <c r="J6" s="318">
        <f>ROUND(M6*M8*M7*(1-M9),0)</f>
        <v>0</v>
      </c>
      <c r="K6" s="80" t="s">
        <v>2801</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689.57</v>
      </c>
      <c r="G7" s="1238"/>
      <c r="H7" s="321"/>
      <c r="I7" s="322"/>
      <c r="J7" s="323"/>
      <c r="K7" s="324"/>
      <c r="L7" s="319" t="s">
        <v>2110</v>
      </c>
      <c r="M7" s="320">
        <f>IF('数据-取费表'!B41="",IF(D1="仅计算典型户型",'数据-取费表'!E5,'数据-取费表'!B5),'数据-取费表'!B41)</f>
        <v>689.57</v>
      </c>
    </row>
    <row r="8" spans="1:37" ht="18" customHeight="1">
      <c r="A8" s="1447"/>
      <c r="B8" s="322"/>
      <c r="C8" s="323"/>
      <c r="D8" s="324"/>
      <c r="E8" s="319" t="s">
        <v>2111</v>
      </c>
      <c r="F8" s="320">
        <f>'数据-取费表'!B42</f>
        <v>365</v>
      </c>
      <c r="G8" s="1238"/>
      <c r="H8" s="321"/>
      <c r="I8" s="322"/>
      <c r="J8" s="323"/>
      <c r="K8" s="324"/>
      <c r="L8" s="319" t="s">
        <v>2112</v>
      </c>
      <c r="M8" s="320">
        <f>'数据-取费表'!B42</f>
        <v>365</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9" t="s">
        <v>2115</v>
      </c>
      <c r="C10" s="1385">
        <f ca="1">ROUND(IF(F10="押一",C6/12*F11,IF(F10="押二",C6/12*2*F11,IF(F10="押三",C6/12*3*F11,C11*F11))),0)</f>
        <v>4247</v>
      </c>
      <c r="D10" s="2340" t="s">
        <v>2809</v>
      </c>
      <c r="E10" s="330" t="s">
        <v>2116</v>
      </c>
      <c r="F10" s="2341" t="s">
        <v>2830</v>
      </c>
      <c r="G10" s="1238"/>
      <c r="H10" s="1384" t="s">
        <v>2114</v>
      </c>
      <c r="I10" s="2339" t="s">
        <v>2115</v>
      </c>
      <c r="J10" s="1385">
        <f ca="1">ROUND(IF(M10="押一",J6/12*M11,IF(M10="押二",J6/12*2*M11,IF(M10="押三",J6/12*3*M11,J11*M11))),0)</f>
        <v>0</v>
      </c>
      <c r="K10" s="80" t="s">
        <v>2809</v>
      </c>
      <c r="L10" s="330" t="s">
        <v>2116</v>
      </c>
      <c r="M10" s="2341"/>
    </row>
    <row r="11" spans="1:37" s="341" customFormat="1" ht="18" customHeight="1">
      <c r="A11" s="348"/>
      <c r="B11" s="2342" t="s">
        <v>2117</v>
      </c>
      <c r="C11" s="1418"/>
      <c r="D11" s="324"/>
      <c r="E11" s="330" t="s">
        <v>2118</v>
      </c>
      <c r="F11" s="331">
        <f ca="1">'数据-取费表'!B30</f>
        <v>1.4999999999999999E-2</v>
      </c>
      <c r="G11" s="1239"/>
      <c r="H11" s="325"/>
      <c r="I11" s="2342"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3" t="s">
        <v>2121</v>
      </c>
      <c r="C12" s="1425"/>
      <c r="D12" s="2344"/>
      <c r="E12" s="1431"/>
      <c r="F12" s="1426"/>
      <c r="G12" s="1238"/>
      <c r="H12" s="1424" t="s">
        <v>2120</v>
      </c>
      <c r="I12" s="2343" t="s">
        <v>2121</v>
      </c>
      <c r="J12" s="1425"/>
      <c r="K12" s="1441"/>
      <c r="L12" s="1431"/>
      <c r="M12" s="1442"/>
    </row>
    <row r="13" spans="1:37" s="341" customFormat="1" ht="18" customHeight="1" thickTop="1">
      <c r="A13" s="1420">
        <v>2</v>
      </c>
      <c r="B13" s="1421" t="s">
        <v>2122</v>
      </c>
      <c r="C13" s="327">
        <f ca="1">ROUND(C29*F13,0)</f>
        <v>2682327</v>
      </c>
      <c r="D13" s="1422" t="s">
        <v>2123</v>
      </c>
      <c r="E13" s="1422" t="s">
        <v>2124</v>
      </c>
      <c r="F13" s="1423">
        <f>'数据-取费表'!E20</f>
        <v>0.8</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2068710</v>
      </c>
      <c r="D14" s="1888" t="s">
        <v>2127</v>
      </c>
      <c r="E14" s="1889"/>
      <c r="F14" s="979"/>
      <c r="G14" s="1239"/>
      <c r="H14" s="337" t="s">
        <v>2107</v>
      </c>
      <c r="I14" s="319" t="s">
        <v>2128</v>
      </c>
      <c r="J14" s="14">
        <f ca="1">C29</f>
        <v>3352909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62061</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0</v>
      </c>
      <c r="D16" s="319" t="s">
        <v>2131</v>
      </c>
      <c r="E16" s="319" t="s">
        <v>2132</v>
      </c>
      <c r="F16" s="342">
        <f>IF('数据-取费表'!B10="住宅",'数据-取费表'!E22,0)</f>
        <v>0</v>
      </c>
      <c r="G16" s="1239"/>
      <c r="H16" s="1420" t="s">
        <v>14</v>
      </c>
      <c r="I16" s="1421" t="s">
        <v>2137</v>
      </c>
      <c r="J16" s="327">
        <f ca="1">ROUND(J17+J22+J23+J24,0)</f>
        <v>78458</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137914</v>
      </c>
      <c r="D17" s="319" t="s">
        <v>2141</v>
      </c>
      <c r="E17" s="319" t="s">
        <v>2142</v>
      </c>
      <c r="F17" s="16">
        <f>'数据-取费表'!E23</f>
        <v>200</v>
      </c>
      <c r="G17" s="1239"/>
      <c r="H17" s="337" t="s">
        <v>2143</v>
      </c>
      <c r="I17" s="319" t="s">
        <v>2144</v>
      </c>
      <c r="J17" s="14">
        <f ca="1">ROUND(IF(项目基本情况!B7="自然人",J5*M17,J18+J19+J20),0)</f>
        <v>28164</v>
      </c>
      <c r="K17" s="1888" t="s">
        <v>2145</v>
      </c>
      <c r="L17" s="1893" t="s">
        <v>2146</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31031</v>
      </c>
      <c r="D18" s="319" t="s">
        <v>2131</v>
      </c>
      <c r="E18" s="319" t="s">
        <v>2132</v>
      </c>
      <c r="F18" s="342">
        <f>'数据-取费表'!E24</f>
        <v>1.4999999999999999E-2</v>
      </c>
      <c r="G18" s="1238"/>
      <c r="H18" s="337" t="s">
        <v>2149</v>
      </c>
      <c r="I18" s="319" t="s">
        <v>2150</v>
      </c>
      <c r="J18" s="14">
        <f ca="1">IF(项目基本情况!B7="自然人","——",ROUND(J5*M18/(1+'数据-取费表'!F30),0))</f>
        <v>0</v>
      </c>
      <c r="K18" s="1893" t="s">
        <v>2151</v>
      </c>
      <c r="L18" s="319" t="s">
        <v>2132</v>
      </c>
      <c r="M18" s="342">
        <f>'数据-取费表'!E29</f>
        <v>5.6000000000000001E-2</v>
      </c>
    </row>
    <row r="19" spans="1:37" s="341" customFormat="1" ht="18" customHeight="1">
      <c r="A19" s="337" t="s">
        <v>2143</v>
      </c>
      <c r="B19" s="319" t="s">
        <v>2152</v>
      </c>
      <c r="C19" s="14">
        <f>SUM(C14:C18)</f>
        <v>2299716</v>
      </c>
      <c r="D19" s="56" t="s">
        <v>2153</v>
      </c>
      <c r="E19" s="1898"/>
      <c r="F19" s="16"/>
      <c r="G19" s="1239"/>
      <c r="H19" s="337" t="s">
        <v>2129</v>
      </c>
      <c r="I19" s="319" t="s">
        <v>2154</v>
      </c>
      <c r="J19" s="14">
        <f ca="1">IF(项目基本情况!B7="自然人","——",IF(K19="按租金收入计税",ROUND(J5*M19,1),ROUND(C29*M19*0.7,1)))</f>
        <v>28164.400000000001</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2156</v>
      </c>
      <c r="C20" s="14">
        <f>ROUND(C19*F20,0)</f>
        <v>68991</v>
      </c>
      <c r="D20" s="344" t="s">
        <v>2157</v>
      </c>
      <c r="E20" s="319" t="s">
        <v>2158</v>
      </c>
      <c r="F20" s="342">
        <f>'数据-取费表'!E25</f>
        <v>0.03</v>
      </c>
      <c r="G20" s="1239"/>
      <c r="H20" s="337" t="s">
        <v>2135</v>
      </c>
      <c r="I20" s="80" t="s">
        <v>2159</v>
      </c>
      <c r="J20" s="15">
        <f>IF(项目基本情况!B7="自然人","——",ROUND(M20*M21,0))</f>
        <v>0</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0.03</v>
      </c>
      <c r="D21" s="344" t="s">
        <v>2164</v>
      </c>
      <c r="E21" s="319" t="s">
        <v>2165</v>
      </c>
      <c r="F21" s="342">
        <f>'数据-取费表'!E26</f>
        <v>0.03</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50294</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83893</v>
      </c>
      <c r="D23" s="2008" t="str">
        <f>IF(F23&lt;=1,"(建造成本+管理费用)×利率×(建设周期÷2)","(建造成本+管理费用)×((1+利率)^(建设周期÷2)-1)")</f>
        <v>(建造成本+管理费用)×((1+利率)^(建设周期÷2)-1)</v>
      </c>
      <c r="E23" s="319" t="s">
        <v>2172</v>
      </c>
      <c r="F23" s="347">
        <f>'数据-取费表'!B21</f>
        <v>1.5</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1.1000000000000001E-3</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-78458</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592177</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0.05</v>
      </c>
    </row>
    <row r="27" spans="1:37" ht="18" customHeight="1">
      <c r="A27" s="337" t="s">
        <v>2191</v>
      </c>
      <c r="B27" s="319" t="s">
        <v>2192</v>
      </c>
      <c r="C27" s="14">
        <f>ROUND(F21*F26,4)</f>
        <v>7.4999999999999997E-3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3352909</v>
      </c>
      <c r="D29" s="1433"/>
      <c r="E29" s="1431"/>
      <c r="F29" s="1434"/>
      <c r="G29" s="791"/>
      <c r="H29" s="356" t="s">
        <v>24</v>
      </c>
      <c r="I29" s="357" t="s">
        <v>2202</v>
      </c>
      <c r="J29" s="358">
        <f ca="1">ROUND(J26/(1+F40)^F41,0)</f>
        <v>0</v>
      </c>
      <c r="K29" s="359" t="s">
        <v>2203</v>
      </c>
      <c r="L29" s="360"/>
      <c r="M29" s="361">
        <f>IF(D1="仅计算典型户型",'数据-取费表'!E5,'数据-取费表'!B5)</f>
        <v>689.57</v>
      </c>
    </row>
    <row r="30" spans="1:37" ht="18" customHeight="1" thickTop="1">
      <c r="A30" s="1420" t="s">
        <v>14</v>
      </c>
      <c r="B30" s="1421" t="s">
        <v>2204</v>
      </c>
      <c r="C30" s="327">
        <f ca="1">ROUND(C31+C36+C37+C38,0)</f>
        <v>262743</v>
      </c>
      <c r="D30" s="1427" t="s">
        <v>2205</v>
      </c>
      <c r="E30" s="1428"/>
      <c r="F30" s="1429"/>
      <c r="G30" s="791"/>
      <c r="H30" s="1218"/>
      <c r="I30" s="1219"/>
      <c r="J30" s="1220"/>
      <c r="K30" s="1221"/>
      <c r="L30" s="1222"/>
      <c r="M30" s="1223"/>
    </row>
    <row r="31" spans="1:37" ht="18" customHeight="1">
      <c r="A31" s="337" t="s">
        <v>2107</v>
      </c>
      <c r="B31" s="319" t="s">
        <v>2144</v>
      </c>
      <c r="C31" s="14">
        <f ca="1">ROUND(IF(项目基本情况!B7="自然人",C5*F31,C32+C33+C34),1)</f>
        <v>197056.9</v>
      </c>
      <c r="D31" s="1888" t="s">
        <v>2206</v>
      </c>
      <c r="E31" s="1893"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60633</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136423.9</v>
      </c>
      <c r="D33" s="2014" t="s">
        <v>2831</v>
      </c>
      <c r="E33" s="319" t="s">
        <v>2132</v>
      </c>
      <c r="F33" s="342">
        <f>IF(D33="按票据","——",IF(D33="按租金收入计税",'数据-取费表'!E39,'数据-取费表'!E38))</f>
        <v>0.12</v>
      </c>
      <c r="G33" s="791"/>
      <c r="H33" s="1230"/>
      <c r="I33" s="363" t="s">
        <v>2210</v>
      </c>
      <c r="J33" s="364"/>
      <c r="K33" s="1231"/>
      <c r="L33" s="1230"/>
      <c r="M33" s="1230"/>
    </row>
    <row r="34" spans="1:18" ht="18" customHeight="1">
      <c r="A34" s="1384" t="s">
        <v>2135</v>
      </c>
      <c r="B34" s="80" t="s">
        <v>2159</v>
      </c>
      <c r="C34" s="15">
        <f>IF(项目基本情况!B7="自然人","——",ROUND(F34*F35,0))</f>
        <v>0</v>
      </c>
      <c r="D34" s="346" t="s">
        <v>2160</v>
      </c>
      <c r="E34" s="319" t="s">
        <v>2161</v>
      </c>
      <c r="F34" s="347">
        <f>'数据-取费表'!E40</f>
        <v>0</v>
      </c>
      <c r="G34" s="791"/>
      <c r="H34" s="1218"/>
      <c r="I34" s="365" t="s">
        <v>2211</v>
      </c>
      <c r="J34" s="366">
        <f ca="1">ROUND(C13*J35,0)</f>
        <v>214586</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2114</v>
      </c>
      <c r="B36" s="319" t="s">
        <v>2213</v>
      </c>
      <c r="C36" s="14">
        <f ca="1">ROUND(C29*F36,0)</f>
        <v>50294</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4023</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11369</v>
      </c>
      <c r="D38" s="1433" t="s">
        <v>2179</v>
      </c>
      <c r="E38" s="1431" t="s">
        <v>2175</v>
      </c>
      <c r="F38" s="1426">
        <f>'数据-取费表'!B46</f>
        <v>0.01</v>
      </c>
      <c r="G38" s="791"/>
      <c r="H38" s="1230"/>
      <c r="I38" s="365" t="s">
        <v>2217</v>
      </c>
      <c r="J38" s="220">
        <f ca="1">ROUND(J34/C39,3)</f>
        <v>0.245</v>
      </c>
      <c r="K38" s="1235"/>
      <c r="L38" s="1230"/>
      <c r="M38" s="1230"/>
    </row>
    <row r="39" spans="1:18" ht="18" customHeight="1" thickTop="1">
      <c r="A39" s="1420" t="s">
        <v>22</v>
      </c>
      <c r="B39" s="1435" t="s">
        <v>2218</v>
      </c>
      <c r="C39" s="327">
        <f ca="1">C5-C30</f>
        <v>874123</v>
      </c>
      <c r="D39" s="1436" t="s">
        <v>2219</v>
      </c>
      <c r="E39" s="1437"/>
      <c r="F39" s="1438"/>
      <c r="G39" s="791"/>
      <c r="H39" s="1230"/>
      <c r="I39" s="365" t="s">
        <v>2220</v>
      </c>
      <c r="J39" s="220">
        <f ca="1">1-J38</f>
        <v>0.755</v>
      </c>
      <c r="K39" s="1235"/>
      <c r="L39" s="1230"/>
      <c r="M39" s="1230"/>
    </row>
    <row r="40" spans="1:18" s="791" customFormat="1" ht="18" customHeight="1">
      <c r="A40" s="316" t="s">
        <v>23</v>
      </c>
      <c r="B40" s="317" t="s">
        <v>2221</v>
      </c>
      <c r="C40" s="318">
        <f ca="1">ROUND(C39*(1-((1+F42)/(1+F40))^F41)/(F40-F42),0)</f>
        <v>15827767</v>
      </c>
      <c r="D40" s="346" t="s">
        <v>2189</v>
      </c>
      <c r="E40" s="319" t="s">
        <v>2190</v>
      </c>
      <c r="F40" s="329">
        <f>'数据-取费表'!B16</f>
        <v>0.05</v>
      </c>
      <c r="H40" s="1236"/>
      <c r="I40" s="216" t="s">
        <v>2222</v>
      </c>
      <c r="J40" s="217"/>
      <c r="K40" s="1235"/>
      <c r="L40" s="1236"/>
      <c r="M40" s="1236"/>
      <c r="Q40" s="795"/>
    </row>
    <row r="41" spans="1:18" s="791" customFormat="1" ht="18" customHeight="1">
      <c r="A41" s="321"/>
      <c r="B41" s="322"/>
      <c r="C41" s="323"/>
      <c r="D41" s="354" t="s">
        <v>2223</v>
      </c>
      <c r="E41" s="1825" t="s">
        <v>2829</v>
      </c>
      <c r="F41" s="355">
        <f>IF('数据-取费表'!B28="租赁期内按合同租金",'数据-取费表'!B34,IF(E41="收益年期(n)",'数据-取费表'!B33,'数据-取费表'!B13))</f>
        <v>27.03</v>
      </c>
      <c r="H41" s="1237"/>
      <c r="I41" s="219" t="s">
        <v>2095</v>
      </c>
      <c r="J41" s="220">
        <f ca="1">ROUND(C13/C40,3)</f>
        <v>0.16900000000000001</v>
      </c>
      <c r="K41" s="1234"/>
      <c r="L41" s="1237"/>
      <c r="M41" s="1237"/>
      <c r="Q41" s="795"/>
    </row>
    <row r="42" spans="1:18" s="791" customFormat="1" ht="18" customHeight="1">
      <c r="A42" s="325"/>
      <c r="B42" s="326"/>
      <c r="C42" s="327"/>
      <c r="D42" s="349"/>
      <c r="E42" s="319" t="s">
        <v>2199</v>
      </c>
      <c r="F42" s="329">
        <f>'数据-取费表'!B31</f>
        <v>0.02</v>
      </c>
      <c r="H42" s="1237"/>
      <c r="I42" s="219" t="s">
        <v>2096</v>
      </c>
      <c r="J42" s="221">
        <f ca="1">1-J41</f>
        <v>0.83099999999999996</v>
      </c>
      <c r="K42" s="1234"/>
      <c r="L42" s="1237"/>
      <c r="M42" s="1237"/>
      <c r="Q42" s="795"/>
    </row>
    <row r="43" spans="1:18" s="791" customFormat="1" ht="18" customHeight="1" thickBot="1">
      <c r="A43" s="356" t="s">
        <v>24</v>
      </c>
      <c r="B43" s="357" t="s">
        <v>2224</v>
      </c>
      <c r="C43" s="358">
        <f ca="1">ROUND(C40/F43,0)</f>
        <v>22953</v>
      </c>
      <c r="D43" s="359" t="s">
        <v>2225</v>
      </c>
      <c r="E43" s="360" t="s">
        <v>2226</v>
      </c>
      <c r="F43" s="361">
        <f>IF(D1="仅计算典型户型",'数据-取费表'!E5,'数据-取费表'!B5)</f>
        <v>689.57</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955</v>
      </c>
      <c r="P45" s="1368" t="s">
        <v>2232</v>
      </c>
      <c r="Q45" s="1369">
        <f ca="1">C40+J29</f>
        <v>15827767</v>
      </c>
      <c r="R45" s="1370" t="s">
        <v>2233</v>
      </c>
    </row>
    <row r="46" spans="1:18" s="791" customFormat="1" ht="18" customHeight="1" thickBot="1">
      <c r="A46" s="776"/>
      <c r="D46" s="776"/>
      <c r="E46" s="776"/>
      <c r="F46" s="776"/>
      <c r="K46" s="792"/>
      <c r="O46" s="1367" t="s">
        <v>956</v>
      </c>
      <c r="P46" s="1368" t="s">
        <v>2234</v>
      </c>
      <c r="Q46" s="1369" t="str">
        <f>J61</f>
        <v>0</v>
      </c>
      <c r="R46" s="1370" t="s">
        <v>2235</v>
      </c>
    </row>
    <row r="47" spans="1:18" s="791" customFormat="1" ht="21.75" thickBot="1">
      <c r="A47" s="2345" t="s">
        <v>2236</v>
      </c>
      <c r="C47" s="1303">
        <f ca="1">IF(C2="元",C69-C40,ROUND((C69-C40)/10000,0))</f>
        <v>-20749888</v>
      </c>
      <c r="D47" s="2346" t="str">
        <f>C2</f>
        <v>元</v>
      </c>
      <c r="E47" s="776"/>
      <c r="F47" s="776"/>
      <c r="I47" s="2347" t="s">
        <v>2237</v>
      </c>
      <c r="J47" s="1343"/>
      <c r="K47" s="1344"/>
      <c r="L47" s="1357" t="str">
        <f>IF(M48="住宅",0,IF(L49&gt;J52,L61,J61))</f>
        <v>0</v>
      </c>
      <c r="O47" s="1371" t="s">
        <v>957</v>
      </c>
      <c r="P47" s="1368" t="s">
        <v>2238</v>
      </c>
      <c r="Q47" s="1369">
        <f ca="1">C29</f>
        <v>3352909</v>
      </c>
      <c r="R47" s="1370" t="s">
        <v>2233</v>
      </c>
    </row>
    <row r="48" spans="1:18" s="791" customFormat="1" ht="15.75" thickBot="1">
      <c r="A48" s="312" t="s">
        <v>2239</v>
      </c>
      <c r="B48" s="313" t="s">
        <v>2240</v>
      </c>
      <c r="C48" s="313" t="s">
        <v>2241</v>
      </c>
      <c r="D48" s="313" t="s">
        <v>2242</v>
      </c>
      <c r="E48" s="1297" t="s">
        <v>2243</v>
      </c>
      <c r="F48" s="1298"/>
      <c r="I48" s="2348" t="s">
        <v>2244</v>
      </c>
      <c r="J48" s="2349" t="s">
        <v>2832</v>
      </c>
      <c r="K48" s="2350" t="s">
        <v>2245</v>
      </c>
      <c r="L48" s="1345">
        <f>'数据-取费表'!B11</f>
        <v>40</v>
      </c>
      <c r="M48" s="1358" t="str">
        <f>IF('数据-取费表'!B10="住宅","住宅","非住宅")</f>
        <v>非住宅</v>
      </c>
      <c r="O48" s="1371" t="s">
        <v>958</v>
      </c>
      <c r="P48" s="1368" t="s">
        <v>2246</v>
      </c>
      <c r="Q48" s="1372" t="e">
        <f>J59</f>
        <v>#VALUE!</v>
      </c>
      <c r="R48" s="1370"/>
    </row>
    <row r="49" spans="1:18" s="791" customFormat="1" ht="15.75" thickBot="1">
      <c r="A49" s="1457" t="s">
        <v>1028</v>
      </c>
      <c r="B49" s="317" t="s">
        <v>2247</v>
      </c>
      <c r="C49" s="1458">
        <f ca="1">C50+C54+C56</f>
        <v>0</v>
      </c>
      <c r="D49" s="1459"/>
      <c r="E49" s="101"/>
      <c r="F49" s="16"/>
      <c r="I49" s="2351" t="s">
        <v>2248</v>
      </c>
      <c r="J49" s="2352" t="s">
        <v>2833</v>
      </c>
      <c r="K49" s="2353" t="s">
        <v>2249</v>
      </c>
      <c r="L49" s="1128">
        <f>'数据-取费表'!B13</f>
        <v>27.03</v>
      </c>
      <c r="O49" s="1371" t="s">
        <v>959</v>
      </c>
      <c r="P49" s="1368" t="s">
        <v>2250</v>
      </c>
      <c r="Q49" s="1372">
        <f>J53</f>
        <v>0</v>
      </c>
      <c r="R49" s="1370"/>
    </row>
    <row r="50" spans="1:18" s="791" customFormat="1" ht="15.75" thickBot="1">
      <c r="A50" s="345" t="s">
        <v>2107</v>
      </c>
      <c r="B50" s="2025" t="s">
        <v>2251</v>
      </c>
      <c r="C50" s="318">
        <f>ROUND(F50*F52*F51*(1-F53),0)</f>
        <v>0</v>
      </c>
      <c r="D50" s="93" t="s">
        <v>2802</v>
      </c>
      <c r="E50" s="2354" t="s">
        <v>2252</v>
      </c>
      <c r="F50" s="1299"/>
      <c r="I50" s="2351" t="s">
        <v>2253</v>
      </c>
      <c r="J50" s="1128">
        <f>'数据-取费表'!B26</f>
        <v>2005</v>
      </c>
      <c r="K50" s="2355" t="s">
        <v>2254</v>
      </c>
      <c r="L50" s="1346"/>
      <c r="O50" s="1371" t="s">
        <v>960</v>
      </c>
      <c r="P50" s="1368" t="s">
        <v>2255</v>
      </c>
      <c r="Q50" s="1369" t="b">
        <f>J54</f>
        <v>0</v>
      </c>
      <c r="R50" s="1370" t="s">
        <v>2256</v>
      </c>
    </row>
    <row r="51" spans="1:18" s="791" customFormat="1" ht="15.75" thickBot="1">
      <c r="A51" s="321"/>
      <c r="B51" s="322"/>
      <c r="C51" s="323"/>
      <c r="D51" s="324"/>
      <c r="E51" s="339" t="s">
        <v>2110</v>
      </c>
      <c r="F51" s="1296">
        <f>F7</f>
        <v>689.57</v>
      </c>
      <c r="I51" s="2351" t="s">
        <v>2257</v>
      </c>
      <c r="J51" s="1347">
        <f>SUMPRODUCT((I64:I66=J48)*(J63:L63=J49)*(J64:L66))</f>
        <v>60</v>
      </c>
      <c r="K51" s="2355" t="s">
        <v>2258</v>
      </c>
      <c r="L51" s="1346"/>
      <c r="O51" s="1367" t="s">
        <v>961</v>
      </c>
      <c r="P51" s="1368" t="str">
        <f>IF(C2="元","收益价值(元)","收益价值(万元)")</f>
        <v>收益价值(元)</v>
      </c>
      <c r="Q51" s="1369">
        <f ca="1">ROUND(IF(C2="元",Q45+Q46,(Q45+Q46)/10000),0)</f>
        <v>15827767</v>
      </c>
      <c r="R51" s="1370" t="s">
        <v>962</v>
      </c>
    </row>
    <row r="52" spans="1:18" s="791" customFormat="1" ht="16.5" thickBot="1">
      <c r="A52" s="321"/>
      <c r="B52" s="322"/>
      <c r="C52" s="323"/>
      <c r="D52" s="324"/>
      <c r="E52" s="319" t="s">
        <v>2112</v>
      </c>
      <c r="F52" s="320">
        <f>F8</f>
        <v>365</v>
      </c>
      <c r="I52" s="2356" t="s">
        <v>2259</v>
      </c>
      <c r="J52" s="1348">
        <f>IF(J50="",J51,J50+J51-YEAR('数据-取费表'!B2))</f>
        <v>48</v>
      </c>
      <c r="K52" s="2357" t="s">
        <v>2260</v>
      </c>
      <c r="L52" s="1349">
        <f ca="1">ROUND(-PV('数据-取费表'!B15,L49,(C40-C13*J35)),0)</f>
        <v>255115964</v>
      </c>
      <c r="O52" s="1361" t="s">
        <v>2261</v>
      </c>
      <c r="P52" s="1362"/>
      <c r="Q52" s="1358"/>
      <c r="R52" s="1362"/>
    </row>
    <row r="53" spans="1:18" s="791" customFormat="1" ht="15.75" thickBot="1">
      <c r="A53" s="325"/>
      <c r="B53" s="326"/>
      <c r="C53" s="327"/>
      <c r="D53" s="328"/>
      <c r="E53" s="319" t="s">
        <v>2113</v>
      </c>
      <c r="F53" s="1356"/>
      <c r="I53" s="2358" t="s">
        <v>2262</v>
      </c>
      <c r="J53" s="1350"/>
      <c r="K53" s="2358" t="s">
        <v>2263</v>
      </c>
      <c r="L53" s="1350"/>
      <c r="O53" s="1363" t="s">
        <v>2228</v>
      </c>
      <c r="P53" s="1364" t="s">
        <v>2229</v>
      </c>
      <c r="Q53" s="1365" t="s">
        <v>2230</v>
      </c>
      <c r="R53" s="1366" t="s">
        <v>2231</v>
      </c>
    </row>
    <row r="54" spans="1:18" s="791" customFormat="1" ht="29.25" customHeight="1" thickBot="1">
      <c r="A54" s="1384" t="s">
        <v>2114</v>
      </c>
      <c r="B54" s="2339" t="s">
        <v>2115</v>
      </c>
      <c r="C54" s="1385">
        <f ca="1">ROUND(IF(F54="押一",C50/12*F11,IF(F54="押二",C50/12*2*F11,IF(F54="押三",C50/12*3*F11,C55*F11))),0)</f>
        <v>0</v>
      </c>
      <c r="D54" s="2340" t="s">
        <v>2810</v>
      </c>
      <c r="E54" s="330" t="s">
        <v>2116</v>
      </c>
      <c r="F54" s="2341"/>
      <c r="I54" s="2731" t="s">
        <v>2812</v>
      </c>
      <c r="J54" s="1351" t="b">
        <f>IF(M48="住宅",IF(E1="——",MAX(J52,L49),IF(E1="在建（套用方法）",MAX(J52,L49-'数据-取费表'!B25),MAX(J52,L49-'数据-取费表'!B21))),IF(E1="——",MIN(J52,L49),IF(E1="在建（套用方法）",MIN(J52,L49-'数据-取费表'!B25),IF(E1="土地（套用方法）",MIN(J52,L49-'数据-取费表'!B21)))))</f>
        <v>0</v>
      </c>
      <c r="K54" s="2970" t="s">
        <v>2800</v>
      </c>
      <c r="L54" s="2971"/>
      <c r="O54" s="1367" t="s">
        <v>955</v>
      </c>
      <c r="P54" s="1368" t="s">
        <v>2232</v>
      </c>
      <c r="Q54" s="1369">
        <f ca="1">C40+J29</f>
        <v>15827767</v>
      </c>
      <c r="R54" s="1370" t="s">
        <v>2233</v>
      </c>
    </row>
    <row r="55" spans="1:18" s="791" customFormat="1" ht="20.25" thickBot="1">
      <c r="A55" s="1384"/>
      <c r="B55" s="2359" t="s">
        <v>2119</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956</v>
      </c>
      <c r="P55" s="1368" t="s">
        <v>2264</v>
      </c>
      <c r="Q55" s="1369">
        <f>L61</f>
        <v>0</v>
      </c>
      <c r="R55" s="1370" t="s">
        <v>2265</v>
      </c>
    </row>
    <row r="56" spans="1:18" s="791" customFormat="1" ht="20.25" thickBot="1">
      <c r="A56" s="1424" t="s">
        <v>2120</v>
      </c>
      <c r="B56" s="2343" t="s">
        <v>2121</v>
      </c>
      <c r="C56" s="1425"/>
      <c r="D56" s="1441"/>
      <c r="E56" s="2362"/>
      <c r="F56" s="1501"/>
      <c r="I56" s="2363" t="s">
        <v>2266</v>
      </c>
      <c r="J56" s="1871" t="e">
        <f>ROUND(IF(J48="钢混",J58/J51,1-(1-2%)*(J51-J58)/J51),3)</f>
        <v>#VALUE!</v>
      </c>
      <c r="K56" s="2364" t="s">
        <v>2267</v>
      </c>
      <c r="L56" s="1352"/>
      <c r="O56" s="1371" t="s">
        <v>957</v>
      </c>
      <c r="P56" s="1368" t="s">
        <v>2268</v>
      </c>
      <c r="Q56" s="1369">
        <f>IF(L56="比较法",L50,IF(L56="基准地价",L51,0))</f>
        <v>0</v>
      </c>
      <c r="R56" s="1370" t="s">
        <v>2233</v>
      </c>
    </row>
    <row r="57" spans="1:18" s="791" customFormat="1" ht="44.25" thickTop="1" thickBot="1">
      <c r="A57" s="1420">
        <v>2</v>
      </c>
      <c r="B57" s="1421" t="s">
        <v>2122</v>
      </c>
      <c r="C57" s="1500">
        <f ca="1">C13</f>
        <v>2682327</v>
      </c>
      <c r="D57" s="1294"/>
      <c r="E57" s="1295"/>
      <c r="F57" s="1302"/>
      <c r="I57" s="2365" t="s">
        <v>2269</v>
      </c>
      <c r="J57" s="1355" t="s">
        <v>2841</v>
      </c>
      <c r="K57" s="2351" t="s">
        <v>2270</v>
      </c>
      <c r="L57" s="1128" t="str">
        <f>IF(L49&lt;J52,"——",L49-J52)</f>
        <v>——</v>
      </c>
      <c r="O57" s="1371" t="s">
        <v>958</v>
      </c>
      <c r="P57" s="1368" t="s">
        <v>2271</v>
      </c>
      <c r="Q57" s="1372">
        <f>L53</f>
        <v>0</v>
      </c>
      <c r="R57" s="1370"/>
    </row>
    <row r="58" spans="1:18" s="791" customFormat="1" ht="29.25" thickBot="1">
      <c r="A58" s="1301"/>
      <c r="B58" s="319" t="s">
        <v>2201</v>
      </c>
      <c r="C58" s="188">
        <f ca="1">C29</f>
        <v>3352909</v>
      </c>
      <c r="D58" s="1294"/>
      <c r="E58" s="1295"/>
      <c r="F58" s="1302"/>
      <c r="I58" s="2366" t="s">
        <v>2272</v>
      </c>
      <c r="J58" s="1354" t="str">
        <f>IF(OR(M48="住宅",J52&lt;L49,J57="是"),"——",J52-L49)</f>
        <v>——</v>
      </c>
      <c r="K58" s="2351" t="s">
        <v>2273</v>
      </c>
      <c r="L58" s="1128" t="str">
        <f>IF(L49&lt;J52,"——",IF(L56="比较法",L50,IF(L56="基准地价",L51,L52)))</f>
        <v>——</v>
      </c>
      <c r="O58" s="1371" t="s">
        <v>959</v>
      </c>
      <c r="P58" s="1368" t="s">
        <v>2274</v>
      </c>
      <c r="Q58" s="1369" t="e">
        <f>L59</f>
        <v>#DIV/0!</v>
      </c>
      <c r="R58" s="1370" t="s">
        <v>2275</v>
      </c>
    </row>
    <row r="59" spans="1:18" s="791" customFormat="1" ht="29.25" thickBot="1">
      <c r="A59" s="332" t="s">
        <v>14</v>
      </c>
      <c r="B59" s="333" t="s">
        <v>2204</v>
      </c>
      <c r="C59" s="334">
        <f ca="1">ROUND(C60+C65+C66+C67,0)</f>
        <v>335961</v>
      </c>
      <c r="D59" s="12" t="s">
        <v>2205</v>
      </c>
      <c r="E59" s="1898"/>
      <c r="F59" s="16"/>
      <c r="I59" s="2366" t="s">
        <v>2276</v>
      </c>
      <c r="J59" s="1870" t="e">
        <f>IF(J56&lt;0.4,0.4,J56)</f>
        <v>#VALUE!</v>
      </c>
      <c r="K59" s="2357" t="s">
        <v>2277</v>
      </c>
      <c r="L59" s="1128" t="e">
        <f>ROUND(POWER(1+L53,L48-L49)*(POWER(1+L53,L49)-1)/(POWER(1+L53,L48)-1),4)</f>
        <v>#DIV/0!</v>
      </c>
      <c r="O59" s="1371" t="s">
        <v>960</v>
      </c>
      <c r="P59" s="1368" t="str">
        <f>K60</f>
        <v>建设期及建筑物耐用年限下的土地年期修正系数Kn</v>
      </c>
      <c r="Q59" s="1369" t="e">
        <f>L60</f>
        <v>#DIV/0!</v>
      </c>
      <c r="R59" s="1370" t="s">
        <v>2278</v>
      </c>
    </row>
    <row r="60" spans="1:18" s="791" customFormat="1" ht="29.25" thickBot="1">
      <c r="A60" s="337" t="s">
        <v>15</v>
      </c>
      <c r="B60" s="319" t="s">
        <v>2144</v>
      </c>
      <c r="C60" s="14">
        <f ca="1">ROUND(IF(项目基本情况!B7="自然人",C49*F60,C61+C62+C63),1)</f>
        <v>281644.40000000002</v>
      </c>
      <c r="D60" s="1888" t="s">
        <v>2206</v>
      </c>
      <c r="E60" s="1893" t="s">
        <v>2207</v>
      </c>
      <c r="F60" s="343" t="str">
        <f>IF(项目基本情况!B7="企业","",IF('数据-取费表'!B10="住宅",5%,IF(F50*F51*F52/12/(1+'数据-取费表'!F30)&gt;20000,12%,7%)))</f>
        <v/>
      </c>
      <c r="I60" s="2366" t="s">
        <v>2279</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961</v>
      </c>
      <c r="P60" s="1368" t="str">
        <f>IF(C2="元","收益价值(元)","收益价值(万元)")</f>
        <v>收益价值(元)</v>
      </c>
      <c r="Q60" s="1369">
        <f ca="1">ROUND(IF(C2="元",Q54+Q55,(Q54+Q55)/10000),0)</f>
        <v>15827767</v>
      </c>
      <c r="R60" s="1370" t="s">
        <v>962</v>
      </c>
    </row>
    <row r="61" spans="1:18" s="791" customFormat="1" ht="16.5" thickBot="1">
      <c r="A61" s="337" t="s">
        <v>16</v>
      </c>
      <c r="B61" s="319" t="s">
        <v>2208</v>
      </c>
      <c r="C61" s="14">
        <f ca="1">IF(项目基本情况!B7="自然人","——",ROUND(C49*F61/(1+'数据-取费表'!F30),0))</f>
        <v>0</v>
      </c>
      <c r="D61" s="1893" t="s">
        <v>2209</v>
      </c>
      <c r="E61" s="319" t="s">
        <v>2158</v>
      </c>
      <c r="F61" s="352">
        <f t="shared" ref="F61:F67" si="0">F32</f>
        <v>5.6000000000000001E-2</v>
      </c>
      <c r="I61" s="2367" t="s">
        <v>2280</v>
      </c>
      <c r="J61" s="1353" t="str">
        <f>IF(OR(M48="住宅",J52&lt;L49,J57="是"),"0",ROUND(J60/(1+J53)^J54,0))</f>
        <v>0</v>
      </c>
      <c r="K61" s="2368" t="s">
        <v>2281</v>
      </c>
      <c r="L61" s="1353">
        <f>IF(OR(M48="住宅",L49&lt;J52),0,ROUND(L58*(L59/L60-1),0))</f>
        <v>0</v>
      </c>
      <c r="O61" s="1361" t="s">
        <v>2282</v>
      </c>
      <c r="P61" s="1362"/>
      <c r="Q61" s="1358"/>
      <c r="R61" s="1362"/>
    </row>
    <row r="62" spans="1:18" s="791" customFormat="1" ht="15.75" thickBot="1">
      <c r="A62" s="337" t="s">
        <v>17</v>
      </c>
      <c r="B62" s="319" t="s">
        <v>2283</v>
      </c>
      <c r="C62" s="14">
        <f ca="1">IF(项目基本情况!B7="自然人","——",IF(D62="按租金收入计税",ROUND(C49*F62,1),IF(D62="按房产原值计税",ROUND(C58*F62*0.7,1),'数据-取费表'!B43)))</f>
        <v>281644.40000000002</v>
      </c>
      <c r="D62" s="2014" t="s">
        <v>2155</v>
      </c>
      <c r="E62" s="319" t="s">
        <v>2158</v>
      </c>
      <c r="F62" s="342">
        <f t="shared" si="0"/>
        <v>0.12</v>
      </c>
      <c r="O62" s="1363" t="s">
        <v>2228</v>
      </c>
      <c r="P62" s="1364" t="s">
        <v>2229</v>
      </c>
      <c r="Q62" s="1365" t="s">
        <v>2230</v>
      </c>
      <c r="R62" s="1366" t="s">
        <v>2231</v>
      </c>
    </row>
    <row r="63" spans="1:18" s="791" customFormat="1" ht="15.75" thickBot="1">
      <c r="A63" s="345" t="s">
        <v>18</v>
      </c>
      <c r="B63" s="80" t="s">
        <v>2284</v>
      </c>
      <c r="C63" s="15">
        <f>IF(项目基本情况!B7="自然人","——",ROUND(F63*F64,0))</f>
        <v>0</v>
      </c>
      <c r="D63" s="346" t="s">
        <v>2285</v>
      </c>
      <c r="E63" s="319" t="s">
        <v>2286</v>
      </c>
      <c r="F63" s="347">
        <f t="shared" si="0"/>
        <v>0</v>
      </c>
      <c r="I63" s="2369" t="s">
        <v>2287</v>
      </c>
      <c r="J63" s="1874" t="s">
        <v>2288</v>
      </c>
      <c r="K63" s="1874" t="s">
        <v>2289</v>
      </c>
      <c r="L63" s="1874" t="s">
        <v>2290</v>
      </c>
      <c r="M63" s="1873" t="s">
        <v>2291</v>
      </c>
      <c r="O63" s="1367" t="s">
        <v>955</v>
      </c>
      <c r="P63" s="1368" t="s">
        <v>2232</v>
      </c>
      <c r="Q63" s="1369">
        <f ca="1">C40+J29</f>
        <v>15827767</v>
      </c>
      <c r="R63" s="1370" t="s">
        <v>2233</v>
      </c>
    </row>
    <row r="64" spans="1:18" s="791" customFormat="1" ht="20.25" thickBot="1">
      <c r="A64" s="348"/>
      <c r="B64" s="328"/>
      <c r="C64" s="19"/>
      <c r="D64" s="349"/>
      <c r="E64" s="319" t="s">
        <v>2292</v>
      </c>
      <c r="F64" s="320">
        <f t="shared" si="0"/>
        <v>0</v>
      </c>
      <c r="I64" s="2369" t="s">
        <v>2293</v>
      </c>
      <c r="J64" s="1874">
        <v>70</v>
      </c>
      <c r="K64" s="1874">
        <v>50</v>
      </c>
      <c r="L64" s="1874">
        <v>80</v>
      </c>
      <c r="M64" s="1872">
        <v>0.02</v>
      </c>
      <c r="O64" s="1367" t="s">
        <v>956</v>
      </c>
      <c r="P64" s="1368" t="s">
        <v>2264</v>
      </c>
      <c r="Q64" s="1369">
        <f>L61</f>
        <v>0</v>
      </c>
      <c r="R64" s="1370" t="s">
        <v>2265</v>
      </c>
    </row>
    <row r="65" spans="1:18" s="791" customFormat="1" ht="23.25" thickBot="1">
      <c r="A65" s="337" t="s">
        <v>19</v>
      </c>
      <c r="B65" s="319" t="s">
        <v>2213</v>
      </c>
      <c r="C65" s="14">
        <f ca="1">ROUND(C58*F65,0)</f>
        <v>50294</v>
      </c>
      <c r="D65" s="1893" t="s">
        <v>2214</v>
      </c>
      <c r="E65" s="319" t="s">
        <v>2158</v>
      </c>
      <c r="F65" s="350">
        <f t="shared" si="0"/>
        <v>1.4999999999999999E-2</v>
      </c>
      <c r="I65" s="2369" t="s">
        <v>2294</v>
      </c>
      <c r="J65" s="1874">
        <v>50</v>
      </c>
      <c r="K65" s="1874">
        <v>35</v>
      </c>
      <c r="L65" s="1874">
        <v>60</v>
      </c>
      <c r="M65" s="1873">
        <v>0</v>
      </c>
      <c r="O65" s="1371" t="s">
        <v>957</v>
      </c>
      <c r="P65" s="1368" t="s">
        <v>2268</v>
      </c>
      <c r="Q65" s="1373">
        <f ca="1">L52</f>
        <v>255115964</v>
      </c>
      <c r="R65" s="1374" t="s">
        <v>2295</v>
      </c>
    </row>
    <row r="66" spans="1:18" s="791" customFormat="1" ht="20.25" thickBot="1">
      <c r="A66" s="337" t="s">
        <v>20</v>
      </c>
      <c r="B66" s="319" t="s">
        <v>2173</v>
      </c>
      <c r="C66" s="14">
        <f ca="1">ROUND(C57*F66,0)</f>
        <v>4023</v>
      </c>
      <c r="D66" s="1893" t="s">
        <v>2174</v>
      </c>
      <c r="E66" s="319" t="s">
        <v>2175</v>
      </c>
      <c r="F66" s="351">
        <f t="shared" si="0"/>
        <v>1.5E-3</v>
      </c>
      <c r="I66" s="2369" t="s">
        <v>2296</v>
      </c>
      <c r="J66" s="1874">
        <v>40</v>
      </c>
      <c r="K66" s="1874">
        <v>30</v>
      </c>
      <c r="L66" s="1874">
        <v>50</v>
      </c>
      <c r="M66" s="1872">
        <v>0.02</v>
      </c>
      <c r="O66" s="1371" t="s">
        <v>958</v>
      </c>
      <c r="P66" s="1375" t="s">
        <v>2297</v>
      </c>
      <c r="Q66" s="1369">
        <f ca="1">ROUND(Q67-Q68*Q69,0)</f>
        <v>659537</v>
      </c>
      <c r="R66" s="1370"/>
    </row>
    <row r="67" spans="1:18" s="791" customFormat="1" ht="15.75" thickBot="1">
      <c r="A67" s="337" t="s">
        <v>21</v>
      </c>
      <c r="B67" s="319" t="s">
        <v>2156</v>
      </c>
      <c r="C67" s="14">
        <f ca="1">ROUND(C49*F67,0)</f>
        <v>0</v>
      </c>
      <c r="D67" s="1893" t="s">
        <v>2179</v>
      </c>
      <c r="E67" s="319" t="s">
        <v>2175</v>
      </c>
      <c r="F67" s="329">
        <f t="shared" si="0"/>
        <v>0.01</v>
      </c>
      <c r="O67" s="1371" t="s">
        <v>963</v>
      </c>
      <c r="P67" s="1375" t="s">
        <v>2298</v>
      </c>
      <c r="Q67" s="1369">
        <f ca="1">C39</f>
        <v>874123</v>
      </c>
      <c r="R67" s="1370" t="s">
        <v>2233</v>
      </c>
    </row>
    <row r="68" spans="1:18" ht="15.75" thickBot="1">
      <c r="A68" s="332" t="s">
        <v>22</v>
      </c>
      <c r="B68" s="89" t="s">
        <v>2183</v>
      </c>
      <c r="C68" s="334">
        <f ca="1">C49-C59</f>
        <v>-335961</v>
      </c>
      <c r="D68" s="1888" t="s">
        <v>2184</v>
      </c>
      <c r="E68" s="1892"/>
      <c r="F68" s="353"/>
      <c r="H68" s="791"/>
      <c r="I68" s="791"/>
      <c r="J68" s="791"/>
      <c r="K68" s="791"/>
      <c r="L68" s="791"/>
      <c r="M68" s="791"/>
      <c r="O68" s="1371" t="s">
        <v>964</v>
      </c>
      <c r="P68" s="1375" t="s">
        <v>2299</v>
      </c>
      <c r="Q68" s="1369">
        <f ca="1">C13</f>
        <v>2682327</v>
      </c>
      <c r="R68" s="1370" t="s">
        <v>2233</v>
      </c>
    </row>
    <row r="69" spans="1:18" ht="15.75" thickBot="1">
      <c r="A69" s="316" t="s">
        <v>23</v>
      </c>
      <c r="B69" s="317" t="s">
        <v>2221</v>
      </c>
      <c r="C69" s="318">
        <f ca="1">ROUND(C68*(1-((1+F71)/(1+F69))^F70)/(F69-F71),0)</f>
        <v>-4922121</v>
      </c>
      <c r="D69" s="346" t="s">
        <v>2189</v>
      </c>
      <c r="E69" s="319" t="s">
        <v>2190</v>
      </c>
      <c r="F69" s="329">
        <f>F40</f>
        <v>0.05</v>
      </c>
      <c r="H69" s="791"/>
      <c r="I69" s="791"/>
      <c r="J69" s="791"/>
      <c r="K69" s="791"/>
      <c r="L69" s="791"/>
      <c r="M69" s="791"/>
      <c r="O69" s="1371" t="s">
        <v>965</v>
      </c>
      <c r="P69" s="1375" t="s">
        <v>2300</v>
      </c>
      <c r="Q69" s="1372">
        <f>J35</f>
        <v>0.08</v>
      </c>
      <c r="R69" s="1370"/>
    </row>
    <row r="70" spans="1:18" ht="15.75" thickBot="1">
      <c r="A70" s="321"/>
      <c r="B70" s="322"/>
      <c r="C70" s="323"/>
      <c r="D70" s="354" t="s">
        <v>2223</v>
      </c>
      <c r="E70" s="319" t="s">
        <v>2195</v>
      </c>
      <c r="F70" s="355">
        <f>F41</f>
        <v>27.03</v>
      </c>
      <c r="H70" s="791"/>
      <c r="I70" s="791"/>
      <c r="J70" s="791"/>
      <c r="K70" s="791"/>
      <c r="L70" s="791"/>
      <c r="M70" s="791"/>
      <c r="O70" s="1371" t="s">
        <v>959</v>
      </c>
      <c r="P70" s="1368" t="s">
        <v>2271</v>
      </c>
      <c r="Q70" s="1372">
        <f>L53</f>
        <v>0</v>
      </c>
      <c r="R70" s="1370"/>
    </row>
    <row r="71" spans="1:18" ht="20.25" thickBot="1">
      <c r="A71" s="325"/>
      <c r="B71" s="326"/>
      <c r="C71" s="327"/>
      <c r="D71" s="349"/>
      <c r="E71" s="319" t="s">
        <v>2199</v>
      </c>
      <c r="F71" s="1356"/>
      <c r="H71" s="791"/>
      <c r="M71" s="791"/>
      <c r="O71" s="1371" t="s">
        <v>960</v>
      </c>
      <c r="P71" s="1368" t="s">
        <v>2274</v>
      </c>
      <c r="Q71" s="1369" t="e">
        <f>L59</f>
        <v>#DIV/0!</v>
      </c>
      <c r="R71" s="1370" t="s">
        <v>2275</v>
      </c>
    </row>
    <row r="72" spans="1:18" ht="15.75" thickBot="1">
      <c r="A72" s="356" t="s">
        <v>24</v>
      </c>
      <c r="B72" s="357" t="s">
        <v>2224</v>
      </c>
      <c r="C72" s="358">
        <f ca="1">ROUND(C69/F72,0)</f>
        <v>-7138</v>
      </c>
      <c r="D72" s="359" t="s">
        <v>2225</v>
      </c>
      <c r="E72" s="360" t="s">
        <v>2226</v>
      </c>
      <c r="F72" s="361">
        <f>F43</f>
        <v>689.57</v>
      </c>
      <c r="O72" s="1371" t="s">
        <v>966</v>
      </c>
      <c r="P72" s="1368" t="str">
        <f>K60</f>
        <v>建设期及建筑物耐用年限下的土地年期修正系数Kn</v>
      </c>
      <c r="Q72" s="1369" t="e">
        <f>L60</f>
        <v>#DIV/0!</v>
      </c>
      <c r="R72" s="1370" t="s">
        <v>2278</v>
      </c>
    </row>
    <row r="73" spans="1:18" ht="15.75" thickBot="1">
      <c r="A73" s="791"/>
      <c r="B73" s="795"/>
      <c r="C73" s="795"/>
      <c r="D73" s="791"/>
      <c r="E73" s="791"/>
      <c r="F73" s="791"/>
      <c r="O73" s="1367" t="s">
        <v>961</v>
      </c>
      <c r="P73" s="1368" t="str">
        <f>IF(C2="元","收益价值(元)","收益价值(万元)")</f>
        <v>收益价值(元)</v>
      </c>
      <c r="Q73" s="1369">
        <f ca="1">ROUND(IF(C2="元",Q63+Q64,(Q63+Q64)/10000),0)</f>
        <v>15827767</v>
      </c>
      <c r="R73" s="1370"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946</v>
      </c>
      <c r="B8" s="1186" t="s">
        <v>945</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946</v>
      </c>
      <c r="B11" s="1186" t="s">
        <v>947</v>
      </c>
      <c r="C11" s="1043"/>
    </row>
    <row r="12" spans="1:7">
      <c r="A12" s="1184"/>
      <c r="B12" s="1908">
        <f>项目基本情况!B4</f>
        <v>0</v>
      </c>
      <c r="C12" s="1043"/>
    </row>
    <row r="13" spans="1:7">
      <c r="A13" s="1184"/>
      <c r="B13" s="1077"/>
      <c r="C13" s="1043"/>
    </row>
    <row r="14" spans="1:7">
      <c r="A14" s="1187" t="s">
        <v>946</v>
      </c>
      <c r="B14" s="1186" t="s">
        <v>948</v>
      </c>
      <c r="C14" s="1043"/>
    </row>
    <row r="15" spans="1:7">
      <c r="A15" s="1184"/>
      <c r="B15" s="1908" t="s">
        <v>777</v>
      </c>
      <c r="C15" s="1043"/>
    </row>
    <row r="16" spans="1:7">
      <c r="A16" s="1184"/>
      <c r="B16" s="1077"/>
      <c r="C16" s="1043"/>
    </row>
    <row r="17" spans="1:5">
      <c r="A17" s="1187" t="s">
        <v>946</v>
      </c>
      <c r="B17" s="1186" t="s">
        <v>949</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946</v>
      </c>
      <c r="B20" s="1186" t="s">
        <v>950</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8" t="s">
        <v>1022</v>
      </c>
      <c r="B1" s="2989"/>
      <c r="C1" s="2990"/>
      <c r="D1" s="2991">
        <f>SUM(I10,I15,I20,I21,I23)</f>
        <v>0</v>
      </c>
      <c r="E1" s="2991"/>
      <c r="F1" s="2991"/>
      <c r="G1" s="2991"/>
      <c r="H1" s="2991"/>
      <c r="I1" s="2992"/>
    </row>
    <row r="2" spans="1:9">
      <c r="A2" s="2978" t="s">
        <v>1023</v>
      </c>
      <c r="B2" s="2979" t="s">
        <v>972</v>
      </c>
      <c r="C2" s="2979"/>
      <c r="D2" s="1389" t="s">
        <v>973</v>
      </c>
      <c r="E2" s="1389" t="s">
        <v>974</v>
      </c>
      <c r="F2" s="1389" t="s">
        <v>975</v>
      </c>
      <c r="G2" s="1389" t="s">
        <v>976</v>
      </c>
      <c r="H2" s="1389" t="s">
        <v>977</v>
      </c>
      <c r="I2" s="1390" t="s">
        <v>978</v>
      </c>
    </row>
    <row r="3" spans="1:9">
      <c r="A3" s="2978"/>
      <c r="B3" s="2979" t="s">
        <v>979</v>
      </c>
      <c r="C3" s="2979"/>
      <c r="D3" s="1391"/>
      <c r="E3" s="1389"/>
      <c r="F3" s="1392"/>
      <c r="G3" s="1392"/>
      <c r="H3" s="1393"/>
      <c r="I3" s="1394">
        <f>ROUND(D3*E3*F3*G3*H3/10000,0)</f>
        <v>0</v>
      </c>
    </row>
    <row r="4" spans="1:9">
      <c r="A4" s="2978"/>
      <c r="B4" s="2979" t="s">
        <v>980</v>
      </c>
      <c r="C4" s="2979"/>
      <c r="D4" s="1391"/>
      <c r="E4" s="1389"/>
      <c r="F4" s="1392"/>
      <c r="G4" s="1392"/>
      <c r="H4" s="1393"/>
      <c r="I4" s="1394">
        <f t="shared" ref="I4:I9" si="0">ROUND(D4*E4*F4*G4*H4/10000,0)</f>
        <v>0</v>
      </c>
    </row>
    <row r="5" spans="1:9">
      <c r="A5" s="2978"/>
      <c r="B5" s="2979" t="s">
        <v>981</v>
      </c>
      <c r="C5" s="2979"/>
      <c r="D5" s="1391"/>
      <c r="E5" s="1389"/>
      <c r="F5" s="1392"/>
      <c r="G5" s="1392"/>
      <c r="H5" s="1393"/>
      <c r="I5" s="1394">
        <f t="shared" si="0"/>
        <v>0</v>
      </c>
    </row>
    <row r="6" spans="1:9">
      <c r="A6" s="2978"/>
      <c r="B6" s="2979" t="s">
        <v>982</v>
      </c>
      <c r="C6" s="2979"/>
      <c r="D6" s="1391"/>
      <c r="E6" s="1389"/>
      <c r="F6" s="1392"/>
      <c r="G6" s="1392"/>
      <c r="H6" s="1393"/>
      <c r="I6" s="1394">
        <f t="shared" si="0"/>
        <v>0</v>
      </c>
    </row>
    <row r="7" spans="1:9">
      <c r="A7" s="2978"/>
      <c r="B7" s="2979" t="s">
        <v>983</v>
      </c>
      <c r="C7" s="2979"/>
      <c r="D7" s="1391"/>
      <c r="E7" s="1389"/>
      <c r="F7" s="1392"/>
      <c r="G7" s="1392"/>
      <c r="H7" s="1393"/>
      <c r="I7" s="1394">
        <f t="shared" si="0"/>
        <v>0</v>
      </c>
    </row>
    <row r="8" spans="1:9">
      <c r="A8" s="2978"/>
      <c r="B8" s="2979" t="s">
        <v>984</v>
      </c>
      <c r="C8" s="2979"/>
      <c r="D8" s="1391"/>
      <c r="E8" s="1389"/>
      <c r="F8" s="1392"/>
      <c r="G8" s="1392"/>
      <c r="H8" s="1393"/>
      <c r="I8" s="1394">
        <f t="shared" si="0"/>
        <v>0</v>
      </c>
    </row>
    <row r="9" spans="1:9">
      <c r="A9" s="2978"/>
      <c r="B9" s="2979" t="s">
        <v>985</v>
      </c>
      <c r="C9" s="2979"/>
      <c r="D9" s="1391"/>
      <c r="E9" s="1389"/>
      <c r="F9" s="1392"/>
      <c r="G9" s="1392"/>
      <c r="H9" s="1393"/>
      <c r="I9" s="1394">
        <f t="shared" si="0"/>
        <v>0</v>
      </c>
    </row>
    <row r="10" spans="1:9">
      <c r="A10" s="2978"/>
      <c r="B10" s="2980" t="s">
        <v>986</v>
      </c>
      <c r="C10" s="2980"/>
      <c r="D10" s="1395">
        <v>527</v>
      </c>
      <c r="E10" s="1395" t="e">
        <f>ROUND(D1*10000/D10/H9,0)</f>
        <v>#DIV/0!</v>
      </c>
      <c r="F10" s="1396"/>
      <c r="G10" s="1396"/>
      <c r="H10" s="1397"/>
      <c r="I10" s="1398">
        <f>SUM(I3:I9)</f>
        <v>0</v>
      </c>
    </row>
    <row r="11" spans="1:9" ht="14.25">
      <c r="A11" s="2978" t="s">
        <v>1024</v>
      </c>
      <c r="B11" s="2979" t="s">
        <v>987</v>
      </c>
      <c r="C11" s="2979"/>
      <c r="D11" s="1391" t="s">
        <v>988</v>
      </c>
      <c r="E11" s="1391" t="s">
        <v>989</v>
      </c>
      <c r="F11" s="1392" t="s">
        <v>990</v>
      </c>
      <c r="G11" s="1392" t="s">
        <v>977</v>
      </c>
      <c r="H11" s="1399" t="s">
        <v>991</v>
      </c>
      <c r="I11" s="1390" t="s">
        <v>978</v>
      </c>
    </row>
    <row r="12" spans="1:9">
      <c r="A12" s="2978"/>
      <c r="B12" s="2979" t="s">
        <v>992</v>
      </c>
      <c r="C12" s="2979"/>
      <c r="D12" s="1391"/>
      <c r="E12" s="1391"/>
      <c r="F12" s="1392"/>
      <c r="G12" s="1393"/>
      <c r="H12" s="1400"/>
      <c r="I12" s="1390">
        <f>ROUND(D12*E12*F12*G12/10000,0)</f>
        <v>0</v>
      </c>
    </row>
    <row r="13" spans="1:9">
      <c r="A13" s="2978"/>
      <c r="B13" s="2979" t="s">
        <v>993</v>
      </c>
      <c r="C13" s="2979"/>
      <c r="D13" s="1391"/>
      <c r="E13" s="1391"/>
      <c r="F13" s="1392"/>
      <c r="G13" s="1393"/>
      <c r="H13" s="1400"/>
      <c r="I13" s="1390">
        <f>ROUND(D13*E13*F13*G13/10000,0)</f>
        <v>0</v>
      </c>
    </row>
    <row r="14" spans="1:9">
      <c r="A14" s="2978"/>
      <c r="B14" s="2979" t="s">
        <v>994</v>
      </c>
      <c r="C14" s="2979"/>
      <c r="D14" s="1391"/>
      <c r="E14" s="1391"/>
      <c r="F14" s="1392"/>
      <c r="G14" s="1393"/>
      <c r="H14" s="1400"/>
      <c r="I14" s="1390">
        <f>ROUND(D14*E14*F14*G14/10000,0)</f>
        <v>0</v>
      </c>
    </row>
    <row r="15" spans="1:9">
      <c r="A15" s="2978"/>
      <c r="B15" s="2980" t="s">
        <v>986</v>
      </c>
      <c r="C15" s="2980"/>
      <c r="D15" s="1395"/>
      <c r="E15" s="1395">
        <f>SUM(E12:E14)</f>
        <v>0</v>
      </c>
      <c r="F15" s="1396"/>
      <c r="G15" s="1393"/>
      <c r="H15" s="1400"/>
      <c r="I15" s="1401">
        <f>SUM(I12:I14)</f>
        <v>0</v>
      </c>
    </row>
    <row r="16" spans="1:9" ht="24">
      <c r="A16" s="2978" t="s">
        <v>1025</v>
      </c>
      <c r="B16" s="2979" t="s">
        <v>995</v>
      </c>
      <c r="C16" s="2979"/>
      <c r="D16" s="1391" t="s">
        <v>973</v>
      </c>
      <c r="E16" s="1402" t="s">
        <v>996</v>
      </c>
      <c r="F16" s="1392" t="s">
        <v>997</v>
      </c>
      <c r="G16" s="1393" t="s">
        <v>977</v>
      </c>
      <c r="H16" s="1399" t="s">
        <v>991</v>
      </c>
      <c r="I16" s="1390" t="s">
        <v>978</v>
      </c>
    </row>
    <row r="17" spans="1:9" ht="14.25">
      <c r="A17" s="2978"/>
      <c r="B17" s="2979" t="s">
        <v>998</v>
      </c>
      <c r="C17" s="2979"/>
      <c r="D17" s="1391"/>
      <c r="E17" s="1391"/>
      <c r="F17" s="1392"/>
      <c r="G17" s="1393"/>
      <c r="H17" s="1403"/>
      <c r="I17" s="1404">
        <f>ROUND(D17*E17*F17*G17/10000,0)</f>
        <v>0</v>
      </c>
    </row>
    <row r="18" spans="1:9" ht="14.25">
      <c r="A18" s="2978"/>
      <c r="B18" s="2979" t="s">
        <v>999</v>
      </c>
      <c r="C18" s="2979"/>
      <c r="D18" s="1391"/>
      <c r="E18" s="1391"/>
      <c r="F18" s="1392"/>
      <c r="G18" s="1393"/>
      <c r="H18" s="1403"/>
      <c r="I18" s="1404">
        <f>ROUND(D18*E18*F18*G18/10000,0)</f>
        <v>0</v>
      </c>
    </row>
    <row r="19" spans="1:9" ht="14.25">
      <c r="A19" s="2978"/>
      <c r="B19" s="2979" t="s">
        <v>1000</v>
      </c>
      <c r="C19" s="2979"/>
      <c r="D19" s="1391"/>
      <c r="E19" s="1391"/>
      <c r="F19" s="1392"/>
      <c r="G19" s="1393"/>
      <c r="H19" s="1403"/>
      <c r="I19" s="1404">
        <f>ROUND(D19*E19*F19*G19/10000,0)</f>
        <v>0</v>
      </c>
    </row>
    <row r="20" spans="1:9">
      <c r="A20" s="2978"/>
      <c r="B20" s="2980" t="s">
        <v>986</v>
      </c>
      <c r="C20" s="2980"/>
      <c r="D20" s="1395">
        <f>SUM(D17:D19)</f>
        <v>0</v>
      </c>
      <c r="E20" s="1395"/>
      <c r="F20" s="1396"/>
      <c r="G20" s="1393"/>
      <c r="H20" s="1400"/>
      <c r="I20" s="1401">
        <f>SUM(I17:I19)</f>
        <v>0</v>
      </c>
    </row>
    <row r="21" spans="1:9">
      <c r="A21" s="2978" t="s">
        <v>1026</v>
      </c>
      <c r="B21" s="2981"/>
      <c r="C21" s="2981"/>
      <c r="D21" s="2981"/>
      <c r="E21" s="2981"/>
      <c r="F21" s="2981"/>
      <c r="G21" s="2981"/>
      <c r="H21" s="1405">
        <v>0.1</v>
      </c>
      <c r="I21" s="1398">
        <f>ROUND(I10*H21,0)</f>
        <v>0</v>
      </c>
    </row>
    <row r="22" spans="1:9" ht="14.25">
      <c r="A22" s="2982" t="s">
        <v>1027</v>
      </c>
      <c r="B22" s="2983"/>
      <c r="C22" s="2984"/>
      <c r="D22" s="1406" t="s">
        <v>1001</v>
      </c>
      <c r="E22" s="1406" t="s">
        <v>1002</v>
      </c>
      <c r="F22" s="1407" t="s">
        <v>977</v>
      </c>
      <c r="G22" s="1407" t="s">
        <v>1003</v>
      </c>
      <c r="H22" s="1399" t="s">
        <v>991</v>
      </c>
      <c r="I22" s="1390" t="s">
        <v>978</v>
      </c>
    </row>
    <row r="23" spans="1:9" ht="14.25" thickBot="1">
      <c r="A23" s="2985"/>
      <c r="B23" s="2986"/>
      <c r="C23" s="2987"/>
      <c r="D23" s="1408"/>
      <c r="E23" s="1408"/>
      <c r="F23" s="1408"/>
      <c r="G23" s="1409"/>
      <c r="H23" s="1410"/>
      <c r="I23" s="1411">
        <f>ROUND(E23*D23*F23*(1-G23)/10000,0)</f>
        <v>0</v>
      </c>
    </row>
    <row r="26" spans="1:9">
      <c r="A26" s="1412" t="s">
        <v>1004</v>
      </c>
      <c r="B26" s="1412"/>
      <c r="C26" s="1412"/>
      <c r="D26" s="1412"/>
      <c r="E26" s="2975">
        <f>C27-C30-C31-C32</f>
        <v>0</v>
      </c>
      <c r="F26" s="2975"/>
      <c r="G26" s="2975"/>
      <c r="H26" s="1829" t="s">
        <v>1216</v>
      </c>
    </row>
    <row r="27" spans="1:9">
      <c r="A27" s="1413">
        <v>1</v>
      </c>
      <c r="B27" s="1414" t="s">
        <v>1005</v>
      </c>
      <c r="C27" s="1414">
        <f>C28+C29</f>
        <v>0</v>
      </c>
      <c r="D27" s="1414"/>
      <c r="E27" s="2976"/>
      <c r="F27" s="2976"/>
      <c r="G27" s="2976"/>
    </row>
    <row r="28" spans="1:9">
      <c r="A28" s="1415" t="s">
        <v>1006</v>
      </c>
      <c r="B28" s="1414" t="s">
        <v>1007</v>
      </c>
      <c r="C28" s="1414"/>
      <c r="D28" s="1414"/>
      <c r="E28" s="2976"/>
      <c r="F28" s="2976"/>
      <c r="G28" s="2976"/>
    </row>
    <row r="29" spans="1:9">
      <c r="A29" s="1415" t="s">
        <v>1008</v>
      </c>
      <c r="B29" s="1414" t="s">
        <v>1009</v>
      </c>
      <c r="C29" s="1414"/>
      <c r="D29" s="1414"/>
      <c r="E29" s="1414" t="s">
        <v>1010</v>
      </c>
      <c r="F29" s="1414"/>
      <c r="G29" s="1414"/>
    </row>
    <row r="30" spans="1:9">
      <c r="A30" s="1413">
        <v>2</v>
      </c>
      <c r="B30" s="1414" t="s">
        <v>1011</v>
      </c>
      <c r="C30" s="1414">
        <f>C27*D30</f>
        <v>0</v>
      </c>
      <c r="D30" s="1416">
        <v>0.2</v>
      </c>
      <c r="E30" s="1414" t="s">
        <v>1012</v>
      </c>
      <c r="F30" s="1414"/>
      <c r="G30" s="1414"/>
    </row>
    <row r="31" spans="1:9">
      <c r="A31" s="1413">
        <v>3</v>
      </c>
      <c r="B31" s="1414" t="s">
        <v>1013</v>
      </c>
      <c r="C31" s="1414">
        <f>C25*D31</f>
        <v>0</v>
      </c>
      <c r="D31" s="1416">
        <v>0.15</v>
      </c>
      <c r="E31" s="1414" t="s">
        <v>1014</v>
      </c>
      <c r="F31" s="1414"/>
      <c r="G31" s="1414"/>
    </row>
    <row r="32" spans="1:9">
      <c r="A32" s="1413">
        <v>4</v>
      </c>
      <c r="B32" s="1414" t="s">
        <v>1015</v>
      </c>
      <c r="C32" s="1414">
        <f>C27*D32</f>
        <v>0</v>
      </c>
      <c r="D32" s="1416">
        <v>0.05</v>
      </c>
      <c r="E32" s="2977"/>
      <c r="F32" s="2977"/>
      <c r="G32" s="2977"/>
    </row>
    <row r="33" spans="1:7" hidden="1">
      <c r="A33" s="2972" t="s">
        <v>1016</v>
      </c>
      <c r="B33" s="2973"/>
      <c r="C33" s="2973"/>
      <c r="D33" s="2974"/>
      <c r="E33" s="2975"/>
      <c r="F33" s="2975"/>
      <c r="G33" s="2975"/>
    </row>
    <row r="34" spans="1:7" hidden="1">
      <c r="A34" s="1417">
        <v>1</v>
      </c>
      <c r="B34" s="1414" t="s">
        <v>1017</v>
      </c>
      <c r="C34" s="1414"/>
      <c r="D34" s="1414"/>
      <c r="E34" s="2976"/>
      <c r="F34" s="2976"/>
      <c r="G34" s="2976"/>
    </row>
    <row r="35" spans="1:7" hidden="1">
      <c r="A35" s="1417">
        <v>2</v>
      </c>
      <c r="B35" s="1414" t="s">
        <v>1018</v>
      </c>
      <c r="C35" s="1414"/>
      <c r="D35" s="1414"/>
      <c r="E35" s="2976"/>
      <c r="F35" s="2976"/>
      <c r="G35" s="2976"/>
    </row>
    <row r="36" spans="1:7" hidden="1">
      <c r="A36" s="1417">
        <v>3</v>
      </c>
      <c r="B36" s="1414" t="s">
        <v>1019</v>
      </c>
      <c r="C36" s="1414"/>
      <c r="D36" s="1414"/>
      <c r="E36" s="2976"/>
      <c r="F36" s="2976"/>
      <c r="G36" s="2976"/>
    </row>
    <row r="37" spans="1:7" hidden="1">
      <c r="A37" s="1417">
        <v>4</v>
      </c>
      <c r="B37" s="1414" t="s">
        <v>1020</v>
      </c>
      <c r="C37" s="1414"/>
      <c r="D37" s="1414"/>
      <c r="E37" s="2976"/>
      <c r="F37" s="2976"/>
      <c r="G37" s="2976"/>
    </row>
    <row r="38" spans="1:7" hidden="1">
      <c r="A38" s="2972" t="s">
        <v>1021</v>
      </c>
      <c r="B38" s="2973"/>
      <c r="C38" s="2973"/>
      <c r="D38" s="2974"/>
      <c r="E38" s="2975"/>
      <c r="F38" s="2975"/>
      <c r="G38" s="29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2996" t="s">
        <v>2306</v>
      </c>
      <c r="D4" s="2997"/>
      <c r="E4" s="2997"/>
      <c r="F4" s="2997"/>
      <c r="G4" s="2997"/>
      <c r="H4" s="2997"/>
      <c r="I4" s="2997"/>
      <c r="J4" s="2997"/>
      <c r="K4" s="2997"/>
      <c r="L4" s="2997"/>
      <c r="M4" s="2997"/>
      <c r="N4" s="2997"/>
      <c r="O4" s="2997"/>
      <c r="P4" s="2997"/>
      <c r="Q4" s="2997"/>
      <c r="R4" s="2997"/>
      <c r="S4" s="2998"/>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2315</v>
      </c>
      <c r="B20" s="2371"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3" t="str">
        <f>'数据-取费表'!B3</f>
        <v>元</v>
      </c>
      <c r="D23" s="84"/>
      <c r="E23" s="84"/>
      <c r="F23" s="2374" t="s">
        <v>1250</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6" t="s">
        <v>2322</v>
      </c>
      <c r="V24" s="1342"/>
      <c r="W24" s="2377" t="s">
        <v>2323</v>
      </c>
      <c r="X24" s="2376" t="s">
        <v>2324</v>
      </c>
      <c r="Y24" s="1342"/>
      <c r="Z24" s="2378" t="s">
        <v>2323</v>
      </c>
    </row>
    <row r="25" spans="1:45">
      <c r="A25" s="334" t="s">
        <v>2325</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80" t="s">
        <v>2332</v>
      </c>
      <c r="W26" s="2381" t="s">
        <v>2333</v>
      </c>
      <c r="X26" s="1883" t="s">
        <v>2331</v>
      </c>
      <c r="Y26" s="2380" t="s">
        <v>2332</v>
      </c>
      <c r="Z26" s="2381"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c r="D1" s="2382"/>
      <c r="E1" s="2383"/>
      <c r="F1" s="1740" t="s">
        <v>2337</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t="e">
        <f ca="1">ROUND(IF(D2="——",C49,IF(C2="万元",B2*10000/D3,B2/D3)),0)</f>
        <v>#DIV/0!</v>
      </c>
      <c r="C3" s="379" t="s">
        <v>2338</v>
      </c>
      <c r="D3" s="378">
        <f>IF(C1="仅计算典型户型",'数据-取费表'!E5,'数据-取费表'!B5)</f>
        <v>689.57</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2339</v>
      </c>
      <c r="B4" s="381"/>
      <c r="C4" s="3032" t="s">
        <v>2340</v>
      </c>
      <c r="D4" s="3033"/>
      <c r="E4" s="3034" t="s">
        <v>2341</v>
      </c>
      <c r="F4" s="3035"/>
      <c r="G4" s="3032" t="s">
        <v>2342</v>
      </c>
      <c r="H4" s="3033"/>
      <c r="I4" s="3032" t="s">
        <v>2343</v>
      </c>
      <c r="J4" s="3033"/>
      <c r="K4" s="2396"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29" t="s">
        <v>2342</v>
      </c>
      <c r="AC4" s="3029" t="s">
        <v>2343</v>
      </c>
    </row>
    <row r="5" spans="1:29" ht="15">
      <c r="A5" s="383"/>
      <c r="B5" s="384"/>
      <c r="C5" s="3017" t="s">
        <v>2346</v>
      </c>
      <c r="D5" s="3018"/>
      <c r="E5" s="3043" t="s">
        <v>2347</v>
      </c>
      <c r="F5" s="3044"/>
      <c r="G5" s="3017" t="s">
        <v>2348</v>
      </c>
      <c r="H5" s="3018"/>
      <c r="I5" s="3017" t="s">
        <v>2349</v>
      </c>
      <c r="J5" s="3018"/>
      <c r="K5" s="2397"/>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2397" t="s">
        <v>2351</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42961</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19" t="s">
        <v>2353</v>
      </c>
      <c r="Q7" s="3027"/>
      <c r="R7" s="749" t="s">
        <v>34</v>
      </c>
      <c r="S7" s="750">
        <f t="shared" ref="S7:S15" si="0">F7</f>
        <v>0</v>
      </c>
      <c r="T7" s="749" t="s">
        <v>34</v>
      </c>
      <c r="U7" s="750">
        <f t="shared" ref="U7:U15" si="1">H7</f>
        <v>0</v>
      </c>
      <c r="V7" s="749" t="s">
        <v>34</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19" t="s">
        <v>2356</v>
      </c>
      <c r="Q8" s="3020"/>
      <c r="R8" s="749" t="s">
        <v>34</v>
      </c>
      <c r="S8" s="750">
        <f t="shared" si="0"/>
        <v>0</v>
      </c>
      <c r="T8" s="749" t="s">
        <v>34</v>
      </c>
      <c r="U8" s="750">
        <f t="shared" si="1"/>
        <v>0</v>
      </c>
      <c r="V8" s="749" t="s">
        <v>34</v>
      </c>
      <c r="W8" s="750">
        <f t="shared" si="2"/>
        <v>0</v>
      </c>
      <c r="X8" s="751"/>
      <c r="Y8" s="3019" t="s">
        <v>2356</v>
      </c>
      <c r="Z8" s="3020"/>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28"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28"/>
      <c r="Q11" s="1887" t="str">
        <f t="shared" si="6"/>
        <v>容积率</v>
      </c>
      <c r="R11" s="749" t="s">
        <v>28</v>
      </c>
      <c r="S11" s="750" t="e">
        <f t="shared" si="0"/>
        <v>#N/A</v>
      </c>
      <c r="T11" s="749" t="s">
        <v>28</v>
      </c>
      <c r="U11" s="750" t="e">
        <f t="shared" si="1"/>
        <v>#N/A</v>
      </c>
      <c r="V11" s="749" t="s">
        <v>28</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28"/>
      <c r="Q12" s="1887">
        <f t="shared" si="6"/>
        <v>111</v>
      </c>
      <c r="R12" s="749" t="s">
        <v>28</v>
      </c>
      <c r="S12" s="750">
        <f t="shared" si="0"/>
        <v>100</v>
      </c>
      <c r="T12" s="749" t="s">
        <v>28</v>
      </c>
      <c r="U12" s="750">
        <f t="shared" si="1"/>
        <v>100</v>
      </c>
      <c r="V12" s="749" t="s">
        <v>28</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28"/>
      <c r="Q13" s="1887">
        <f t="shared" si="6"/>
        <v>111</v>
      </c>
      <c r="R13" s="749" t="s">
        <v>28</v>
      </c>
      <c r="S13" s="750">
        <f t="shared" si="0"/>
        <v>100</v>
      </c>
      <c r="T13" s="749" t="s">
        <v>28</v>
      </c>
      <c r="U13" s="750">
        <f t="shared" si="1"/>
        <v>100</v>
      </c>
      <c r="V13" s="749" t="s">
        <v>28</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28"/>
      <c r="Q14" s="1887">
        <f t="shared" si="6"/>
        <v>111</v>
      </c>
      <c r="R14" s="749" t="s">
        <v>28</v>
      </c>
      <c r="S14" s="750">
        <f t="shared" si="0"/>
        <v>100</v>
      </c>
      <c r="T14" s="749" t="s">
        <v>28</v>
      </c>
      <c r="U14" s="750">
        <f t="shared" si="1"/>
        <v>100</v>
      </c>
      <c r="V14" s="749" t="s">
        <v>28</v>
      </c>
      <c r="W14" s="750">
        <f t="shared" si="2"/>
        <v>100</v>
      </c>
      <c r="X14" s="751"/>
      <c r="Y14" s="2831"/>
      <c r="Z14" s="23">
        <f t="shared" si="7"/>
        <v>111</v>
      </c>
      <c r="AA14" s="752">
        <f t="shared" si="3"/>
        <v>1</v>
      </c>
      <c r="AB14" s="752">
        <f t="shared" si="4"/>
        <v>1</v>
      </c>
      <c r="AC14" s="752">
        <f t="shared" si="5"/>
        <v>1</v>
      </c>
    </row>
    <row r="15" spans="1:29" ht="99.75">
      <c r="A15" s="419" t="s">
        <v>2363</v>
      </c>
      <c r="B15" s="26" t="s">
        <v>1737</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6" t="s">
        <v>2364</v>
      </c>
      <c r="Q15" s="1899" t="str">
        <f t="shared" si="6"/>
        <v>居住社区成熟度</v>
      </c>
      <c r="R15" s="753" t="s">
        <v>28</v>
      </c>
      <c r="S15" s="754">
        <f t="shared" si="0"/>
        <v>100</v>
      </c>
      <c r="T15" s="753" t="s">
        <v>28</v>
      </c>
      <c r="U15" s="754">
        <f t="shared" si="1"/>
        <v>100</v>
      </c>
      <c r="V15" s="753" t="s">
        <v>28</v>
      </c>
      <c r="W15" s="754">
        <f t="shared" si="2"/>
        <v>100</v>
      </c>
      <c r="X15" s="1900"/>
      <c r="Y15" s="3008" t="s">
        <v>2364</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1749</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7"/>
      <c r="Q17" s="1899" t="str">
        <f>B17</f>
        <v>交通便捷度</v>
      </c>
      <c r="R17" s="753" t="s">
        <v>28</v>
      </c>
      <c r="S17" s="754">
        <f>F17</f>
        <v>100</v>
      </c>
      <c r="T17" s="753" t="s">
        <v>28</v>
      </c>
      <c r="U17" s="754">
        <f>H17</f>
        <v>100</v>
      </c>
      <c r="V17" s="753" t="s">
        <v>28</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1747</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7"/>
      <c r="Q19" s="1899" t="str">
        <f>B19</f>
        <v>公共配套设施</v>
      </c>
      <c r="R19" s="753" t="s">
        <v>28</v>
      </c>
      <c r="S19" s="754">
        <f>F19</f>
        <v>100</v>
      </c>
      <c r="T19" s="753" t="s">
        <v>28</v>
      </c>
      <c r="U19" s="754">
        <f>H19</f>
        <v>100</v>
      </c>
      <c r="V19" s="753" t="s">
        <v>28</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1750</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7"/>
      <c r="Q21" s="1899" t="str">
        <f>B21</f>
        <v>基础设施水平</v>
      </c>
      <c r="R21" s="753" t="s">
        <v>28</v>
      </c>
      <c r="S21" s="754">
        <f>F21</f>
        <v>100</v>
      </c>
      <c r="T21" s="753" t="s">
        <v>28</v>
      </c>
      <c r="U21" s="754">
        <f>H21</f>
        <v>100</v>
      </c>
      <c r="V21" s="753" t="s">
        <v>28</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1754</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7"/>
      <c r="Q23" s="1899" t="str">
        <f>B23</f>
        <v>自然及人文环境</v>
      </c>
      <c r="R23" s="753" t="s">
        <v>28</v>
      </c>
      <c r="S23" s="754">
        <f>F23</f>
        <v>100</v>
      </c>
      <c r="T23" s="753" t="s">
        <v>28</v>
      </c>
      <c r="U23" s="754">
        <f>H23</f>
        <v>100</v>
      </c>
      <c r="V23" s="753" t="s">
        <v>28</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2365</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07"/>
      <c r="Q25" s="1899" t="str">
        <f t="shared" ref="Q25:Q46" si="11">B25</f>
        <v>楼层-1</v>
      </c>
      <c r="R25" s="753" t="s">
        <v>28</v>
      </c>
      <c r="S25" s="754">
        <f>F25</f>
        <v>100</v>
      </c>
      <c r="T25" s="753" t="s">
        <v>28</v>
      </c>
      <c r="U25" s="754">
        <f>H25</f>
        <v>100</v>
      </c>
      <c r="V25" s="753" t="s">
        <v>28</v>
      </c>
      <c r="W25" s="754">
        <f>J25</f>
        <v>100</v>
      </c>
      <c r="X25" s="1900"/>
      <c r="Y25" s="3009"/>
      <c r="Z25" s="1902" t="str">
        <f>Q25</f>
        <v>楼层-1</v>
      </c>
      <c r="AA25" s="1903">
        <f t="shared" si="3"/>
        <v>1</v>
      </c>
      <c r="AB25" s="1903">
        <f t="shared" si="4"/>
        <v>1</v>
      </c>
      <c r="AC25" s="1903">
        <f t="shared" si="5"/>
        <v>1</v>
      </c>
    </row>
    <row r="26" spans="1:29" ht="15">
      <c r="A26" s="408"/>
      <c r="B26" s="402" t="s">
        <v>2366</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07"/>
      <c r="Q26" s="1899" t="str">
        <f t="shared" si="11"/>
        <v>朝向</v>
      </c>
      <c r="R26" s="753" t="s">
        <v>28</v>
      </c>
      <c r="S26" s="754">
        <f>F26</f>
        <v>100</v>
      </c>
      <c r="T26" s="753" t="s">
        <v>28</v>
      </c>
      <c r="U26" s="754">
        <f>H26</f>
        <v>100</v>
      </c>
      <c r="V26" s="753" t="s">
        <v>28</v>
      </c>
      <c r="W26" s="754">
        <f>J26</f>
        <v>100</v>
      </c>
      <c r="X26" s="1900"/>
      <c r="Y26" s="3009"/>
      <c r="Z26" s="1902" t="str">
        <f>Q26</f>
        <v>朝向</v>
      </c>
      <c r="AA26" s="1903">
        <f t="shared" si="3"/>
        <v>1</v>
      </c>
      <c r="AB26" s="1903">
        <f t="shared" si="4"/>
        <v>1</v>
      </c>
      <c r="AC26" s="1903">
        <f t="shared" si="5"/>
        <v>1</v>
      </c>
    </row>
    <row r="27" spans="1:29" s="35" customFormat="1" ht="15">
      <c r="A27" s="411"/>
      <c r="B27" s="2400" t="s">
        <v>2367</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07"/>
      <c r="Q27" s="1887" t="str">
        <f t="shared" si="11"/>
        <v>道路级别</v>
      </c>
      <c r="R27" s="749" t="s">
        <v>28</v>
      </c>
      <c r="S27" s="750">
        <f>F27</f>
        <v>100</v>
      </c>
      <c r="T27" s="749" t="s">
        <v>28</v>
      </c>
      <c r="U27" s="750">
        <f>H27</f>
        <v>100</v>
      </c>
      <c r="V27" s="749" t="s">
        <v>28</v>
      </c>
      <c r="W27" s="750">
        <f>J27</f>
        <v>100</v>
      </c>
      <c r="X27" s="751"/>
      <c r="Y27" s="3009"/>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07"/>
      <c r="Q28" s="1899">
        <f t="shared" si="11"/>
        <v>111</v>
      </c>
      <c r="R28" s="753" t="s">
        <v>28</v>
      </c>
      <c r="S28" s="754">
        <f t="shared" ref="S28:S46" si="12">F28</f>
        <v>100</v>
      </c>
      <c r="T28" s="753" t="s">
        <v>28</v>
      </c>
      <c r="U28" s="754">
        <f t="shared" ref="U28:U46" si="13">H28</f>
        <v>100</v>
      </c>
      <c r="V28" s="753" t="s">
        <v>28</v>
      </c>
      <c r="W28" s="754">
        <f t="shared" ref="W28:W46" si="14">J28</f>
        <v>100</v>
      </c>
      <c r="X28" s="1900"/>
      <c r="Y28" s="3009"/>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07"/>
      <c r="Q29" s="1899">
        <f t="shared" si="11"/>
        <v>111</v>
      </c>
      <c r="R29" s="753" t="s">
        <v>28</v>
      </c>
      <c r="S29" s="754">
        <f t="shared" si="12"/>
        <v>100</v>
      </c>
      <c r="T29" s="753" t="s">
        <v>28</v>
      </c>
      <c r="U29" s="754">
        <f t="shared" si="13"/>
        <v>100</v>
      </c>
      <c r="V29" s="753" t="s">
        <v>28</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07"/>
      <c r="Q30" s="1899">
        <f t="shared" si="11"/>
        <v>111</v>
      </c>
      <c r="R30" s="753" t="s">
        <v>28</v>
      </c>
      <c r="S30" s="754">
        <f t="shared" si="12"/>
        <v>100</v>
      </c>
      <c r="T30" s="753" t="s">
        <v>28</v>
      </c>
      <c r="U30" s="754">
        <f t="shared" si="13"/>
        <v>100</v>
      </c>
      <c r="V30" s="753" t="s">
        <v>28</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07"/>
      <c r="Q31" s="1899">
        <f t="shared" si="11"/>
        <v>111</v>
      </c>
      <c r="R31" s="753" t="s">
        <v>28</v>
      </c>
      <c r="S31" s="754">
        <f t="shared" si="12"/>
        <v>100</v>
      </c>
      <c r="T31" s="753" t="s">
        <v>28</v>
      </c>
      <c r="U31" s="754">
        <f t="shared" si="13"/>
        <v>100</v>
      </c>
      <c r="V31" s="753" t="s">
        <v>28</v>
      </c>
      <c r="W31" s="754">
        <f t="shared" si="14"/>
        <v>100</v>
      </c>
      <c r="X31" s="1900"/>
      <c r="Y31" s="3009"/>
      <c r="Z31" s="1902">
        <f t="shared" si="15"/>
        <v>111</v>
      </c>
      <c r="AA31" s="1903">
        <f t="shared" si="3"/>
        <v>1</v>
      </c>
      <c r="AB31" s="1903">
        <f t="shared" si="4"/>
        <v>1</v>
      </c>
      <c r="AC31" s="1903">
        <f t="shared" si="5"/>
        <v>1</v>
      </c>
    </row>
    <row r="32" spans="1:29" ht="15">
      <c r="A32" s="419" t="s">
        <v>2368</v>
      </c>
      <c r="B32" s="28" t="s">
        <v>2369</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10" t="s">
        <v>2370</v>
      </c>
      <c r="Q32" s="1899" t="str">
        <f t="shared" si="11"/>
        <v>建筑类型</v>
      </c>
      <c r="R32" s="753" t="s">
        <v>28</v>
      </c>
      <c r="S32" s="754">
        <f t="shared" si="12"/>
        <v>100</v>
      </c>
      <c r="T32" s="753" t="s">
        <v>28</v>
      </c>
      <c r="U32" s="754">
        <f t="shared" si="13"/>
        <v>100</v>
      </c>
      <c r="V32" s="753" t="s">
        <v>28</v>
      </c>
      <c r="W32" s="754">
        <f t="shared" si="14"/>
        <v>100</v>
      </c>
      <c r="X32" s="1900"/>
      <c r="Y32" s="3013" t="s">
        <v>2370</v>
      </c>
      <c r="Z32" s="1902" t="str">
        <f t="shared" si="15"/>
        <v>建筑类型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11"/>
      <c r="Q33" s="755" t="str">
        <f t="shared" si="11"/>
        <v>项目建筑规模</v>
      </c>
      <c r="R33" s="756" t="s">
        <v>28</v>
      </c>
      <c r="S33" s="757" t="e">
        <f t="shared" si="12"/>
        <v>#N/A</v>
      </c>
      <c r="T33" s="756" t="s">
        <v>28</v>
      </c>
      <c r="U33" s="757" t="e">
        <f t="shared" si="13"/>
        <v>#N/A</v>
      </c>
      <c r="V33" s="756" t="s">
        <v>28</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11"/>
      <c r="Q34" s="1899" t="str">
        <f t="shared" si="11"/>
        <v>建筑结构</v>
      </c>
      <c r="R34" s="753" t="s">
        <v>28</v>
      </c>
      <c r="S34" s="754">
        <f t="shared" si="12"/>
        <v>100</v>
      </c>
      <c r="T34" s="753" t="s">
        <v>28</v>
      </c>
      <c r="U34" s="754">
        <f t="shared" si="13"/>
        <v>100</v>
      </c>
      <c r="V34" s="753" t="s">
        <v>28</v>
      </c>
      <c r="W34" s="754">
        <f t="shared" si="14"/>
        <v>100</v>
      </c>
      <c r="X34" s="1900"/>
      <c r="Y34" s="3013"/>
      <c r="Z34" s="1902" t="str">
        <f t="shared" si="15"/>
        <v>建筑结构</v>
      </c>
      <c r="AA34" s="1903">
        <f t="shared" si="3"/>
        <v>1</v>
      </c>
      <c r="AB34" s="1903">
        <f t="shared" si="4"/>
        <v>1</v>
      </c>
      <c r="AC34" s="1903">
        <f t="shared" si="5"/>
        <v>1</v>
      </c>
    </row>
    <row r="35" spans="1:29" ht="15">
      <c r="A35" s="453"/>
      <c r="B35" s="402" t="s">
        <v>2373</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11"/>
      <c r="Q35" s="1899" t="str">
        <f t="shared" si="11"/>
        <v>建筑品质</v>
      </c>
      <c r="R35" s="753" t="s">
        <v>28</v>
      </c>
      <c r="S35" s="754">
        <f t="shared" si="12"/>
        <v>100</v>
      </c>
      <c r="T35" s="753" t="s">
        <v>28</v>
      </c>
      <c r="U35" s="754">
        <f t="shared" si="13"/>
        <v>100</v>
      </c>
      <c r="V35" s="753" t="s">
        <v>28</v>
      </c>
      <c r="W35" s="754">
        <f t="shared" si="14"/>
        <v>100</v>
      </c>
      <c r="X35" s="1900"/>
      <c r="Y35" s="3013"/>
      <c r="Z35" s="1902" t="str">
        <f t="shared" si="15"/>
        <v>建筑品质</v>
      </c>
      <c r="AA35" s="1903">
        <f t="shared" si="3"/>
        <v>1</v>
      </c>
      <c r="AB35" s="1903">
        <f t="shared" si="4"/>
        <v>1</v>
      </c>
      <c r="AC35" s="1903">
        <f t="shared" si="5"/>
        <v>1</v>
      </c>
    </row>
    <row r="36" spans="1:29" ht="15">
      <c r="A36" s="453"/>
      <c r="B36" s="402" t="s">
        <v>2374</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11"/>
      <c r="Q36" s="1899" t="str">
        <f t="shared" si="11"/>
        <v>公共部分装修</v>
      </c>
      <c r="R36" s="753" t="s">
        <v>28</v>
      </c>
      <c r="S36" s="754">
        <f t="shared" si="12"/>
        <v>100</v>
      </c>
      <c r="T36" s="753" t="s">
        <v>28</v>
      </c>
      <c r="U36" s="754">
        <f t="shared" si="13"/>
        <v>100</v>
      </c>
      <c r="V36" s="753" t="s">
        <v>28</v>
      </c>
      <c r="W36" s="754">
        <f t="shared" si="14"/>
        <v>100</v>
      </c>
      <c r="X36" s="1900"/>
      <c r="Y36" s="3013"/>
      <c r="Z36" s="1902" t="str">
        <f t="shared" si="15"/>
        <v>公共部分装修</v>
      </c>
      <c r="AA36" s="1903">
        <f t="shared" si="3"/>
        <v>1</v>
      </c>
      <c r="AB36" s="1903">
        <f t="shared" si="4"/>
        <v>1</v>
      </c>
      <c r="AC36" s="1903">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11"/>
      <c r="Q37" s="1887" t="str">
        <f t="shared" si="11"/>
        <v>成新度</v>
      </c>
      <c r="R37" s="749" t="s">
        <v>28</v>
      </c>
      <c r="S37" s="750" t="e">
        <f t="shared" si="12"/>
        <v>#N/A</v>
      </c>
      <c r="T37" s="749" t="s">
        <v>28</v>
      </c>
      <c r="U37" s="750" t="e">
        <f t="shared" si="13"/>
        <v>#N/A</v>
      </c>
      <c r="V37" s="749" t="s">
        <v>28</v>
      </c>
      <c r="W37" s="750" t="e">
        <f t="shared" si="14"/>
        <v>#N/A</v>
      </c>
      <c r="X37" s="751"/>
      <c r="Y37" s="3013"/>
      <c r="Z37" s="23" t="str">
        <f t="shared" si="15"/>
        <v>成新度</v>
      </c>
      <c r="AA37" s="752" t="e">
        <f t="shared" si="3"/>
        <v>#N/A</v>
      </c>
      <c r="AB37" s="752" t="e">
        <f t="shared" si="4"/>
        <v>#N/A</v>
      </c>
      <c r="AC37" s="752" t="e">
        <f t="shared" si="5"/>
        <v>#N/A</v>
      </c>
    </row>
    <row r="38" spans="1:29" ht="15">
      <c r="A38" s="453"/>
      <c r="B38" s="402" t="s">
        <v>2376</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11" t="s">
        <v>2370</v>
      </c>
      <c r="Q38" s="1899" t="str">
        <f t="shared" si="11"/>
        <v>物业管理</v>
      </c>
      <c r="R38" s="753" t="s">
        <v>28</v>
      </c>
      <c r="S38" s="754">
        <f t="shared" si="12"/>
        <v>100</v>
      </c>
      <c r="T38" s="753" t="s">
        <v>28</v>
      </c>
      <c r="U38" s="754">
        <f t="shared" si="13"/>
        <v>100</v>
      </c>
      <c r="V38" s="753" t="s">
        <v>28</v>
      </c>
      <c r="W38" s="754">
        <f t="shared" si="14"/>
        <v>100</v>
      </c>
      <c r="X38" s="1900"/>
      <c r="Y38" s="3013" t="s">
        <v>2370</v>
      </c>
      <c r="Z38" s="1902" t="str">
        <f t="shared" si="15"/>
        <v>物业管理</v>
      </c>
      <c r="AA38" s="1903">
        <f t="shared" si="3"/>
        <v>1</v>
      </c>
      <c r="AB38" s="1903">
        <f t="shared" si="4"/>
        <v>1</v>
      </c>
      <c r="AC38" s="1903">
        <f t="shared" si="5"/>
        <v>1</v>
      </c>
    </row>
    <row r="39" spans="1:29" ht="15">
      <c r="A39" s="453"/>
      <c r="B39" s="402" t="s">
        <v>2377</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11"/>
      <c r="Q39" s="1899" t="str">
        <f t="shared" si="11"/>
        <v>市政基础设施</v>
      </c>
      <c r="R39" s="753" t="s">
        <v>28</v>
      </c>
      <c r="S39" s="754">
        <f t="shared" si="12"/>
        <v>100</v>
      </c>
      <c r="T39" s="753" t="s">
        <v>28</v>
      </c>
      <c r="U39" s="754">
        <f t="shared" si="13"/>
        <v>100</v>
      </c>
      <c r="V39" s="753" t="s">
        <v>28</v>
      </c>
      <c r="W39" s="754">
        <f t="shared" si="14"/>
        <v>100</v>
      </c>
      <c r="X39" s="1900"/>
      <c r="Y39" s="3013"/>
      <c r="Z39" s="1902" t="str">
        <f t="shared" si="15"/>
        <v>市政基础设施</v>
      </c>
      <c r="AA39" s="1903">
        <f t="shared" si="3"/>
        <v>1</v>
      </c>
      <c r="AB39" s="1903">
        <f t="shared" si="4"/>
        <v>1</v>
      </c>
      <c r="AC39" s="1903">
        <f t="shared" si="5"/>
        <v>1</v>
      </c>
    </row>
    <row r="40" spans="1:29" ht="15">
      <c r="A40" s="453"/>
      <c r="B40" s="402" t="s">
        <v>2378</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11"/>
      <c r="Q40" s="1899" t="str">
        <f t="shared" si="11"/>
        <v>房型</v>
      </c>
      <c r="R40" s="753" t="s">
        <v>28</v>
      </c>
      <c r="S40" s="754">
        <f t="shared" si="12"/>
        <v>100</v>
      </c>
      <c r="T40" s="753" t="s">
        <v>28</v>
      </c>
      <c r="U40" s="754">
        <f t="shared" si="13"/>
        <v>100</v>
      </c>
      <c r="V40" s="753" t="s">
        <v>28</v>
      </c>
      <c r="W40" s="754">
        <f t="shared" si="14"/>
        <v>100</v>
      </c>
      <c r="X40" s="1900"/>
      <c r="Y40" s="3013"/>
      <c r="Z40" s="1902" t="str">
        <f t="shared" si="15"/>
        <v>房型</v>
      </c>
      <c r="AA40" s="1903">
        <f t="shared" si="3"/>
        <v>1</v>
      </c>
      <c r="AB40" s="1903">
        <f t="shared" si="4"/>
        <v>1</v>
      </c>
      <c r="AC40" s="1903">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1"/>
      <c r="Q41" s="755" t="str">
        <f t="shared" si="11"/>
        <v>单套/主力户型建筑面积</v>
      </c>
      <c r="R41" s="756" t="s">
        <v>28</v>
      </c>
      <c r="S41" s="757">
        <f t="shared" si="12"/>
        <v>100</v>
      </c>
      <c r="T41" s="756" t="s">
        <v>28</v>
      </c>
      <c r="U41" s="757">
        <f t="shared" si="13"/>
        <v>100</v>
      </c>
      <c r="V41" s="756" t="s">
        <v>28</v>
      </c>
      <c r="W41" s="757">
        <f t="shared" si="14"/>
        <v>100</v>
      </c>
      <c r="X41" s="758"/>
      <c r="Y41" s="3013"/>
      <c r="Z41" s="759" t="str">
        <f t="shared" si="15"/>
        <v>单套/主力户型建筑面积</v>
      </c>
      <c r="AA41" s="1903">
        <f t="shared" si="3"/>
        <v>1</v>
      </c>
      <c r="AB41" s="1903">
        <f t="shared" si="4"/>
        <v>1</v>
      </c>
      <c r="AC41" s="1903">
        <f t="shared" si="5"/>
        <v>1</v>
      </c>
    </row>
    <row r="42" spans="1:29" ht="15">
      <c r="A42" s="453"/>
      <c r="B42" s="402" t="s">
        <v>2380</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11"/>
      <c r="Q42" s="1899" t="str">
        <f t="shared" si="11"/>
        <v>内部装修</v>
      </c>
      <c r="R42" s="753" t="s">
        <v>28</v>
      </c>
      <c r="S42" s="754">
        <f t="shared" si="12"/>
        <v>100</v>
      </c>
      <c r="T42" s="753" t="s">
        <v>28</v>
      </c>
      <c r="U42" s="754">
        <f t="shared" si="13"/>
        <v>100</v>
      </c>
      <c r="V42" s="753" t="s">
        <v>28</v>
      </c>
      <c r="W42" s="754">
        <f t="shared" si="14"/>
        <v>100</v>
      </c>
      <c r="X42" s="1900"/>
      <c r="Y42" s="3013"/>
      <c r="Z42" s="1902" t="str">
        <f t="shared" si="15"/>
        <v>内部装修</v>
      </c>
      <c r="AA42" s="1903">
        <f t="shared" si="3"/>
        <v>1</v>
      </c>
      <c r="AB42" s="1903">
        <f t="shared" si="4"/>
        <v>1</v>
      </c>
      <c r="AC42" s="1903">
        <f t="shared" si="5"/>
        <v>1</v>
      </c>
    </row>
    <row r="43" spans="1:29" ht="15">
      <c r="A43" s="453"/>
      <c r="B43" s="402" t="s">
        <v>2381</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11"/>
      <c r="Q43" s="1899" t="str">
        <f t="shared" si="11"/>
        <v>内部装修维护情况</v>
      </c>
      <c r="R43" s="753" t="s">
        <v>28</v>
      </c>
      <c r="S43" s="754">
        <f t="shared" si="12"/>
        <v>100</v>
      </c>
      <c r="T43" s="753" t="s">
        <v>28</v>
      </c>
      <c r="U43" s="754">
        <f t="shared" si="13"/>
        <v>100</v>
      </c>
      <c r="V43" s="753" t="s">
        <v>28</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11"/>
      <c r="Q44" s="1887">
        <f t="shared" si="11"/>
        <v>111</v>
      </c>
      <c r="R44" s="749" t="s">
        <v>28</v>
      </c>
      <c r="S44" s="750">
        <f t="shared" si="12"/>
        <v>100</v>
      </c>
      <c r="T44" s="749" t="s">
        <v>28</v>
      </c>
      <c r="U44" s="750">
        <f t="shared" si="13"/>
        <v>100</v>
      </c>
      <c r="V44" s="749" t="s">
        <v>28</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1"/>
      <c r="Q45" s="1899">
        <f t="shared" si="11"/>
        <v>111</v>
      </c>
      <c r="R45" s="753" t="s">
        <v>28</v>
      </c>
      <c r="S45" s="754">
        <f t="shared" si="12"/>
        <v>100</v>
      </c>
      <c r="T45" s="753" t="s">
        <v>28</v>
      </c>
      <c r="U45" s="754">
        <f t="shared" si="13"/>
        <v>100</v>
      </c>
      <c r="V45" s="753" t="s">
        <v>28</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12"/>
      <c r="Q46" s="1899">
        <f t="shared" si="11"/>
        <v>111</v>
      </c>
      <c r="R46" s="753" t="s">
        <v>27</v>
      </c>
      <c r="S46" s="754">
        <f t="shared" si="12"/>
        <v>100</v>
      </c>
      <c r="T46" s="753" t="s">
        <v>27</v>
      </c>
      <c r="U46" s="754">
        <f t="shared" si="13"/>
        <v>100</v>
      </c>
      <c r="V46" s="753" t="s">
        <v>27</v>
      </c>
      <c r="W46" s="754">
        <f t="shared" si="14"/>
        <v>100</v>
      </c>
      <c r="X46" s="1900"/>
      <c r="Y46" s="3014"/>
      <c r="Z46" s="1902">
        <f t="shared" si="15"/>
        <v>111</v>
      </c>
      <c r="AA46" s="1903">
        <f t="shared" si="3"/>
        <v>1</v>
      </c>
      <c r="AB46" s="1903">
        <f t="shared" si="4"/>
        <v>1</v>
      </c>
      <c r="AC46" s="1903">
        <f t="shared" si="5"/>
        <v>1</v>
      </c>
    </row>
    <row r="47" spans="1:29" ht="15">
      <c r="A47" s="460" t="s">
        <v>2382</v>
      </c>
      <c r="B47" s="461"/>
      <c r="C47" s="1502" t="s">
        <v>26</v>
      </c>
      <c r="D47" s="1503"/>
      <c r="E47" s="1504"/>
      <c r="F47" s="1505"/>
      <c r="G47" s="1506"/>
      <c r="H47" s="1507"/>
      <c r="I47" s="1504"/>
      <c r="J47" s="1507"/>
      <c r="K47" s="2418"/>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2383</v>
      </c>
      <c r="B48" s="468"/>
      <c r="C48" s="1508" t="e">
        <f>R49</f>
        <v>#DIV/0!</v>
      </c>
      <c r="D48" s="1509"/>
      <c r="E48" s="1510" t="e">
        <f>R48</f>
        <v>#DIV/0!</v>
      </c>
      <c r="F48" s="1510"/>
      <c r="G48" s="1508" t="e">
        <f>T48</f>
        <v>#DIV/0!</v>
      </c>
      <c r="H48" s="1509"/>
      <c r="I48" s="1510" t="e">
        <f>V48</f>
        <v>#DIV/0!</v>
      </c>
      <c r="J48" s="1509"/>
      <c r="K48" s="2419"/>
      <c r="L48" s="1256"/>
      <c r="M48" s="1257"/>
      <c r="N48" s="1257"/>
      <c r="O48" s="1257"/>
      <c r="P48" s="3005" t="str">
        <f>A48</f>
        <v>比较价值（元/平方米）</v>
      </c>
      <c r="Q48" s="3005"/>
      <c r="R48" s="3001" t="e">
        <f>IF(E1="售价",ROUND(PRODUCT(R47,AA7:AA46),0),ROUND(PRODUCT(R47,AA7:AA46),1))</f>
        <v>#DIV/0!</v>
      </c>
      <c r="S48" s="3001"/>
      <c r="T48" s="2999" t="e">
        <f>IF(E1="售价",ROUND(PRODUCT(T47,AB7:AB46),0),ROUND(PRODUCT(T47,AB7:AB46),1))</f>
        <v>#DIV/0!</v>
      </c>
      <c r="U48" s="3000"/>
      <c r="V48" s="3001" t="e">
        <f>IF(E1="售价",ROUND(PRODUCT(V47,AC7:AC46),0),ROUND(PRODUCT(V47,AC7:AC46),1))</f>
        <v>#DIV/0!</v>
      </c>
      <c r="W48" s="3001"/>
      <c r="X48" s="738"/>
      <c r="Y48" s="738"/>
      <c r="Z48" s="738"/>
      <c r="AA48" s="738"/>
      <c r="AB48" s="738"/>
      <c r="AC48" s="738"/>
    </row>
    <row r="49" spans="1:29" ht="15.75" thickBot="1">
      <c r="A49" s="473" t="s">
        <v>2384</v>
      </c>
      <c r="B49" s="474"/>
      <c r="C49" s="1511" t="e">
        <f>R49</f>
        <v>#DIV/0!</v>
      </c>
      <c r="D49" s="1512"/>
      <c r="E49" s="1512"/>
      <c r="F49" s="1512"/>
      <c r="G49" s="1512"/>
      <c r="H49" s="1512"/>
      <c r="I49" s="1512"/>
      <c r="J49" s="1512"/>
      <c r="K49" s="2420"/>
      <c r="L49" s="1256"/>
      <c r="M49" s="1257"/>
      <c r="N49" s="1257"/>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3"/>
      <c r="Q57" s="485"/>
    </row>
    <row r="58" spans="1:29" s="489" customFormat="1" ht="15">
      <c r="A58" s="486" t="s">
        <v>2389</v>
      </c>
      <c r="B58" s="487"/>
      <c r="C58" s="1678" t="str">
        <f>YEAR(C7)&amp;"-"&amp;MONTH(C7)</f>
        <v>2017-8</v>
      </c>
      <c r="D58" s="1679">
        <f>EDATE(C58,-1)</f>
        <v>42917</v>
      </c>
      <c r="E58" s="1679">
        <f t="shared" ref="E58:O58" si="16">EDATE(D58,-1)</f>
        <v>42887</v>
      </c>
      <c r="F58" s="1679">
        <f t="shared" si="16"/>
        <v>42856</v>
      </c>
      <c r="G58" s="1679">
        <f t="shared" si="16"/>
        <v>42826</v>
      </c>
      <c r="H58" s="1679">
        <f t="shared" si="16"/>
        <v>42795</v>
      </c>
      <c r="I58" s="1679">
        <f t="shared" si="16"/>
        <v>42767</v>
      </c>
      <c r="J58" s="1679">
        <f t="shared" si="16"/>
        <v>42736</v>
      </c>
      <c r="K58" s="1679">
        <f t="shared" si="16"/>
        <v>42705</v>
      </c>
      <c r="L58" s="1679">
        <f t="shared" si="16"/>
        <v>42675</v>
      </c>
      <c r="M58" s="1679">
        <f t="shared" si="16"/>
        <v>42644</v>
      </c>
      <c r="N58" s="1679">
        <f t="shared" si="16"/>
        <v>42614</v>
      </c>
      <c r="O58" s="1679">
        <f t="shared" si="16"/>
        <v>42583</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2391</v>
      </c>
      <c r="B61" s="491"/>
      <c r="C61" s="503" t="s">
        <v>2392</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2393</v>
      </c>
      <c r="B63" s="509" t="s">
        <v>2358</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2415</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2416</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2368</v>
      </c>
      <c r="B100" s="509" t="s">
        <v>2417</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2419</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2420</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2421</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2423</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2424</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2425</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2379</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2426</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2428</v>
      </c>
    </row>
    <row r="137" spans="1:17" ht="15">
      <c r="B137" s="2435" t="s">
        <v>2429</v>
      </c>
      <c r="C137" s="2436"/>
      <c r="D137" s="2436"/>
      <c r="E137" s="2436"/>
      <c r="F137" s="2436"/>
      <c r="G137" s="2437"/>
      <c r="H137" s="2438"/>
      <c r="I137" s="2439" t="s">
        <v>2430</v>
      </c>
      <c r="J137" s="2436"/>
      <c r="K137" s="2440"/>
    </row>
    <row r="138" spans="1:17" ht="15">
      <c r="B138" s="2441"/>
      <c r="C138" s="62" t="s">
        <v>2431</v>
      </c>
      <c r="D138" s="62" t="s">
        <v>2432</v>
      </c>
      <c r="E138" s="2442" t="s">
        <v>2433</v>
      </c>
      <c r="F138" s="2443" t="s">
        <v>2434</v>
      </c>
      <c r="G138" s="62" t="s">
        <v>2432</v>
      </c>
      <c r="H138" s="63" t="s">
        <v>2433</v>
      </c>
      <c r="I138" s="2444"/>
      <c r="J138" s="62" t="s">
        <v>2435</v>
      </c>
      <c r="K138" s="63" t="s">
        <v>2436</v>
      </c>
    </row>
    <row r="139" spans="1:17" ht="15">
      <c r="B139" s="1125">
        <v>6</v>
      </c>
      <c r="C139" s="1133">
        <v>96</v>
      </c>
      <c r="D139" s="2445" t="s">
        <v>2437</v>
      </c>
      <c r="E139" s="1134">
        <v>100</v>
      </c>
      <c r="F139" s="1135">
        <v>102.5</v>
      </c>
      <c r="G139" s="2445" t="s">
        <v>2437</v>
      </c>
      <c r="H139" s="1136">
        <v>105</v>
      </c>
      <c r="I139" s="2446" t="s">
        <v>2438</v>
      </c>
      <c r="J139" s="1133">
        <v>20</v>
      </c>
      <c r="K139" s="1127">
        <f>C145/(J139-2)</f>
        <v>4.0555555555555553E-3</v>
      </c>
    </row>
    <row r="140" spans="1:17" ht="15">
      <c r="B140" s="1126">
        <v>5</v>
      </c>
      <c r="C140" s="1137">
        <v>100</v>
      </c>
      <c r="D140" s="1137"/>
      <c r="E140" s="1138"/>
      <c r="F140" s="1139">
        <v>102</v>
      </c>
      <c r="G140" s="1137"/>
      <c r="H140" s="1140"/>
      <c r="I140" s="2447" t="s">
        <v>2439</v>
      </c>
      <c r="J140" s="217">
        <f>ROUNDUP((J139-1)/2,0)</f>
        <v>10</v>
      </c>
      <c r="K140" s="1128">
        <v>100</v>
      </c>
    </row>
    <row r="141" spans="1:17" ht="15">
      <c r="B141" s="1126">
        <v>4</v>
      </c>
      <c r="C141" s="1137">
        <v>102</v>
      </c>
      <c r="D141" s="1137"/>
      <c r="E141" s="1138"/>
      <c r="F141" s="1139">
        <v>101.5</v>
      </c>
      <c r="G141" s="1137"/>
      <c r="H141" s="1140"/>
      <c r="I141" s="2447" t="s">
        <v>2440</v>
      </c>
      <c r="J141" s="217">
        <v>1</v>
      </c>
      <c r="K141" s="1129">
        <f>ROUND(100+(J141-J140)*K139*100,1)</f>
        <v>96.4</v>
      </c>
    </row>
    <row r="142" spans="1:17" ht="15">
      <c r="B142" s="1126">
        <v>3</v>
      </c>
      <c r="C142" s="1137">
        <v>103</v>
      </c>
      <c r="D142" s="1137"/>
      <c r="E142" s="1138"/>
      <c r="F142" s="1139">
        <v>101</v>
      </c>
      <c r="G142" s="1137"/>
      <c r="H142" s="1140"/>
      <c r="I142" s="2447" t="s">
        <v>2441</v>
      </c>
      <c r="J142" s="217">
        <f>J139</f>
        <v>20</v>
      </c>
      <c r="K142" s="1142">
        <v>95</v>
      </c>
    </row>
    <row r="143" spans="1:17" ht="15">
      <c r="B143" s="1126">
        <v>2</v>
      </c>
      <c r="C143" s="1137">
        <v>100</v>
      </c>
      <c r="D143" s="1137"/>
      <c r="E143" s="1138"/>
      <c r="F143" s="1139">
        <v>100.5</v>
      </c>
      <c r="G143" s="1137"/>
      <c r="H143" s="1140"/>
      <c r="I143" s="2447" t="s">
        <v>2442</v>
      </c>
      <c r="J143" s="1137">
        <v>15</v>
      </c>
      <c r="K143" s="1129">
        <f>ROUND(100+(J143-J140)*K139*100,1)</f>
        <v>102</v>
      </c>
    </row>
    <row r="144" spans="1:17" ht="15">
      <c r="B144" s="1126">
        <v>1</v>
      </c>
      <c r="C144" s="1137">
        <v>98</v>
      </c>
      <c r="D144" s="2448" t="s">
        <v>2443</v>
      </c>
      <c r="E144" s="1138">
        <v>102</v>
      </c>
      <c r="F144" s="1141">
        <v>100</v>
      </c>
      <c r="G144" s="2448" t="s">
        <v>2443</v>
      </c>
      <c r="H144" s="1140">
        <v>105</v>
      </c>
      <c r="I144" s="2447" t="s">
        <v>2442</v>
      </c>
      <c r="J144" s="1137">
        <v>18</v>
      </c>
      <c r="K144" s="1129">
        <f>ROUND(100+(J144-J140)*K139*100,1)</f>
        <v>103.2</v>
      </c>
    </row>
    <row r="145" spans="2:11" ht="15.75" thickBot="1">
      <c r="B145" s="2449" t="s">
        <v>2444</v>
      </c>
      <c r="C145" s="1131">
        <f>ROUND(MAX(C139:C144)/MIN(C139:C144)-1,3)</f>
        <v>7.2999999999999995E-2</v>
      </c>
      <c r="D145" s="1132"/>
      <c r="E145" s="1132"/>
      <c r="F145" s="2450" t="s">
        <v>2445</v>
      </c>
      <c r="G145" s="2451"/>
      <c r="H145" s="2452"/>
      <c r="I145" s="2453" t="s">
        <v>2442</v>
      </c>
      <c r="J145" s="1143">
        <v>8</v>
      </c>
      <c r="K145" s="1130">
        <f>ROUND(100+(J145-J140)*K139*100,1)</f>
        <v>99.2</v>
      </c>
    </row>
    <row r="147" spans="2:11">
      <c r="B147" s="2434" t="s">
        <v>2446</v>
      </c>
    </row>
    <row r="148" spans="2:11">
      <c r="B148" s="2434"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4"/>
      <c r="E1" s="2383"/>
      <c r="F1" s="1740" t="s">
        <v>2337</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2338</v>
      </c>
      <c r="D3" s="378">
        <f>IF(C1="仅计算典型户型",'数据-取费表'!E5,'数据-取费表'!B5)</f>
        <v>689.57</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42"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42"/>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42"/>
      <c r="AC6" s="3031"/>
    </row>
    <row r="7" spans="1:29" s="35" customFormat="1" ht="15.75" thickBot="1">
      <c r="A7" s="387" t="s">
        <v>2352</v>
      </c>
      <c r="B7" s="388"/>
      <c r="C7" s="389">
        <f>'数据-取费表'!B2</f>
        <v>42961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9"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9" t="s">
        <v>2356</v>
      </c>
      <c r="Q8" s="3020"/>
      <c r="R8" s="749" t="s">
        <v>25</v>
      </c>
      <c r="S8" s="750">
        <f t="shared" si="0"/>
        <v>0</v>
      </c>
      <c r="T8" s="749" t="s">
        <v>25</v>
      </c>
      <c r="U8" s="750">
        <f t="shared" si="1"/>
        <v>0</v>
      </c>
      <c r="V8" s="749" t="s">
        <v>25</v>
      </c>
      <c r="W8" s="750">
        <f t="shared" si="2"/>
        <v>0</v>
      </c>
      <c r="X8" s="751"/>
      <c r="Y8" s="3019" t="s">
        <v>2356</v>
      </c>
      <c r="Z8" s="3020"/>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8"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2363</v>
      </c>
      <c r="B15" s="26" t="s">
        <v>2449</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6" t="s">
        <v>2364</v>
      </c>
      <c r="Q15" s="1899" t="str">
        <f t="shared" si="6"/>
        <v>商业繁华度</v>
      </c>
      <c r="R15" s="753" t="s">
        <v>25</v>
      </c>
      <c r="S15" s="754">
        <f t="shared" si="0"/>
        <v>100</v>
      </c>
      <c r="T15" s="753" t="s">
        <v>25</v>
      </c>
      <c r="U15" s="754">
        <f t="shared" si="1"/>
        <v>100</v>
      </c>
      <c r="V15" s="753" t="s">
        <v>25</v>
      </c>
      <c r="W15" s="754">
        <f t="shared" si="2"/>
        <v>100</v>
      </c>
      <c r="X15" s="1900"/>
      <c r="Y15" s="3008"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1749</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7"/>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2450</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7"/>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2451</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7"/>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1754</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7"/>
      <c r="Q23" s="1899" t="str">
        <f>B23</f>
        <v>自然及人文环境</v>
      </c>
      <c r="R23" s="753" t="s">
        <v>25</v>
      </c>
      <c r="S23" s="754">
        <f>F23</f>
        <v>100</v>
      </c>
      <c r="T23" s="753" t="s">
        <v>25</v>
      </c>
      <c r="U23" s="754">
        <f>H23</f>
        <v>100</v>
      </c>
      <c r="V23" s="753" t="s">
        <v>25</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7"/>
      <c r="Q25" s="1899" t="str">
        <f t="shared" ref="Q25:Q46" si="11">B25</f>
        <v>临街状况</v>
      </c>
      <c r="R25" s="753" t="s">
        <v>25</v>
      </c>
      <c r="S25" s="754">
        <f>F25</f>
        <v>100</v>
      </c>
      <c r="T25" s="753" t="s">
        <v>25</v>
      </c>
      <c r="U25" s="754">
        <f>H25</f>
        <v>100</v>
      </c>
      <c r="V25" s="753" t="s">
        <v>25</v>
      </c>
      <c r="W25" s="754">
        <f>J25</f>
        <v>100</v>
      </c>
      <c r="X25" s="1900"/>
      <c r="Y25" s="3009"/>
      <c r="Z25" s="1902" t="str">
        <f>Q25</f>
        <v>临街状况</v>
      </c>
      <c r="AA25" s="1903">
        <f t="shared" si="3"/>
        <v>1</v>
      </c>
      <c r="AB25" s="1903">
        <f t="shared" si="4"/>
        <v>1</v>
      </c>
      <c r="AC25" s="1903">
        <f t="shared" si="5"/>
        <v>1</v>
      </c>
    </row>
    <row r="26" spans="1:29" ht="15">
      <c r="A26" s="408"/>
      <c r="B26" s="2413"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7"/>
      <c r="Q26" s="1899" t="str">
        <f t="shared" si="11"/>
        <v>平面位置/可视性</v>
      </c>
      <c r="R26" s="753" t="s">
        <v>25</v>
      </c>
      <c r="S26" s="754">
        <f>F26</f>
        <v>100</v>
      </c>
      <c r="T26" s="753" t="s">
        <v>25</v>
      </c>
      <c r="U26" s="754">
        <f>H26</f>
        <v>100</v>
      </c>
      <c r="V26" s="753" t="s">
        <v>25</v>
      </c>
      <c r="W26" s="754">
        <f>J26</f>
        <v>100</v>
      </c>
      <c r="X26" s="1900"/>
      <c r="Y26" s="3009"/>
      <c r="Z26" s="1902" t="str">
        <f>Q26</f>
        <v>平面位置/可视性</v>
      </c>
      <c r="AA26" s="1903">
        <f t="shared" si="3"/>
        <v>1</v>
      </c>
      <c r="AB26" s="1903">
        <f t="shared" si="4"/>
        <v>1</v>
      </c>
      <c r="AC26" s="1903">
        <f t="shared" si="5"/>
        <v>1</v>
      </c>
    </row>
    <row r="27" spans="1:29" s="35" customFormat="1" ht="15">
      <c r="A27" s="411"/>
      <c r="B27" s="431" t="s">
        <v>2454</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07"/>
      <c r="Q27" s="1887" t="str">
        <f t="shared" si="11"/>
        <v>人流量</v>
      </c>
      <c r="R27" s="749" t="s">
        <v>25</v>
      </c>
      <c r="S27" s="750">
        <f>F27</f>
        <v>100</v>
      </c>
      <c r="T27" s="749" t="s">
        <v>25</v>
      </c>
      <c r="U27" s="750">
        <f>H27</f>
        <v>100</v>
      </c>
      <c r="V27" s="749" t="s">
        <v>25</v>
      </c>
      <c r="W27" s="750">
        <f>J27</f>
        <v>100</v>
      </c>
      <c r="X27" s="751"/>
      <c r="Y27" s="3009"/>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7"/>
      <c r="Q29" s="1899">
        <f t="shared" si="11"/>
        <v>111</v>
      </c>
      <c r="R29" s="753" t="s">
        <v>25</v>
      </c>
      <c r="S29" s="754">
        <f t="shared" si="12"/>
        <v>100</v>
      </c>
      <c r="T29" s="753" t="s">
        <v>25</v>
      </c>
      <c r="U29" s="754">
        <f t="shared" si="13"/>
        <v>100</v>
      </c>
      <c r="V29" s="753" t="s">
        <v>25</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7"/>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7"/>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
      <c r="A32" s="419" t="s">
        <v>2368</v>
      </c>
      <c r="B32" s="28" t="s">
        <v>2456</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0" t="s">
        <v>2370</v>
      </c>
      <c r="Q32" s="1899" t="str">
        <f t="shared" si="11"/>
        <v>商业类型</v>
      </c>
      <c r="R32" s="753" t="s">
        <v>25</v>
      </c>
      <c r="S32" s="754">
        <f t="shared" si="12"/>
        <v>100</v>
      </c>
      <c r="T32" s="753" t="s">
        <v>25</v>
      </c>
      <c r="U32" s="754">
        <f t="shared" si="13"/>
        <v>100</v>
      </c>
      <c r="V32" s="753" t="s">
        <v>25</v>
      </c>
      <c r="W32" s="754">
        <f t="shared" si="14"/>
        <v>100</v>
      </c>
      <c r="X32" s="1900"/>
      <c r="Y32" s="3013"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1"/>
      <c r="Q33" s="755" t="str">
        <f t="shared" si="11"/>
        <v>项目建筑规模</v>
      </c>
      <c r="R33" s="756" t="s">
        <v>25</v>
      </c>
      <c r="S33" s="757" t="e">
        <f t="shared" si="12"/>
        <v>#N/A</v>
      </c>
      <c r="T33" s="756" t="s">
        <v>25</v>
      </c>
      <c r="U33" s="757" t="e">
        <f t="shared" si="13"/>
        <v>#N/A</v>
      </c>
      <c r="V33" s="756" t="s">
        <v>25</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1"/>
      <c r="Q34" s="1899" t="str">
        <f t="shared" si="11"/>
        <v>建筑结构</v>
      </c>
      <c r="R34" s="753" t="s">
        <v>25</v>
      </c>
      <c r="S34" s="754">
        <f t="shared" si="12"/>
        <v>100</v>
      </c>
      <c r="T34" s="753" t="s">
        <v>25</v>
      </c>
      <c r="U34" s="754">
        <f t="shared" si="13"/>
        <v>100</v>
      </c>
      <c r="V34" s="753" t="s">
        <v>25</v>
      </c>
      <c r="W34" s="754">
        <f t="shared" si="14"/>
        <v>100</v>
      </c>
      <c r="X34" s="1900"/>
      <c r="Y34" s="3013"/>
      <c r="Z34" s="1902" t="str">
        <f t="shared" si="15"/>
        <v>建筑结构</v>
      </c>
      <c r="AA34" s="1903">
        <f t="shared" si="3"/>
        <v>1</v>
      </c>
      <c r="AB34" s="1903">
        <f t="shared" si="4"/>
        <v>1</v>
      </c>
      <c r="AC34" s="1903">
        <f t="shared" si="5"/>
        <v>1</v>
      </c>
    </row>
    <row r="35" spans="1:29" ht="15">
      <c r="A35" s="453"/>
      <c r="B35" s="402" t="s">
        <v>2457</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1"/>
      <c r="Q35" s="1899" t="str">
        <f t="shared" si="11"/>
        <v>公共部分装修</v>
      </c>
      <c r="R35" s="753" t="s">
        <v>25</v>
      </c>
      <c r="S35" s="754">
        <f t="shared" si="12"/>
        <v>100</v>
      </c>
      <c r="T35" s="753" t="s">
        <v>25</v>
      </c>
      <c r="U35" s="754">
        <f t="shared" si="13"/>
        <v>100</v>
      </c>
      <c r="V35" s="753" t="s">
        <v>25</v>
      </c>
      <c r="W35" s="754">
        <f t="shared" si="14"/>
        <v>100</v>
      </c>
      <c r="X35" s="1900"/>
      <c r="Y35" s="3013"/>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1"/>
      <c r="Q36" s="1899" t="str">
        <f t="shared" si="11"/>
        <v>成新度</v>
      </c>
      <c r="R36" s="753" t="s">
        <v>25</v>
      </c>
      <c r="S36" s="754" t="e">
        <f t="shared" si="12"/>
        <v>#N/A</v>
      </c>
      <c r="T36" s="753" t="s">
        <v>25</v>
      </c>
      <c r="U36" s="754" t="e">
        <f t="shared" si="13"/>
        <v>#N/A</v>
      </c>
      <c r="V36" s="753" t="s">
        <v>25</v>
      </c>
      <c r="W36" s="754" t="e">
        <f t="shared" si="14"/>
        <v>#N/A</v>
      </c>
      <c r="X36" s="1900"/>
      <c r="Y36" s="3013"/>
      <c r="Z36" s="1902" t="str">
        <f t="shared" si="15"/>
        <v>成新度</v>
      </c>
      <c r="AA36" s="1903" t="e">
        <f t="shared" si="3"/>
        <v>#N/A</v>
      </c>
      <c r="AB36" s="1903" t="e">
        <f t="shared" si="4"/>
        <v>#N/A</v>
      </c>
      <c r="AC36" s="1903" t="e">
        <f t="shared" si="5"/>
        <v>#N/A</v>
      </c>
    </row>
    <row r="37" spans="1:29" s="35" customFormat="1" ht="15">
      <c r="A37" s="454"/>
      <c r="B37" s="402" t="s">
        <v>2459</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1"/>
      <c r="Q37" s="1887" t="str">
        <f t="shared" si="11"/>
        <v>市政基础设施</v>
      </c>
      <c r="R37" s="749" t="s">
        <v>25</v>
      </c>
      <c r="S37" s="750">
        <f t="shared" si="12"/>
        <v>100</v>
      </c>
      <c r="T37" s="749" t="s">
        <v>25</v>
      </c>
      <c r="U37" s="750">
        <f t="shared" si="13"/>
        <v>100</v>
      </c>
      <c r="V37" s="749" t="s">
        <v>25</v>
      </c>
      <c r="W37" s="750">
        <f t="shared" si="14"/>
        <v>100</v>
      </c>
      <c r="X37" s="751"/>
      <c r="Y37" s="3013"/>
      <c r="Z37" s="23" t="str">
        <f t="shared" si="15"/>
        <v>市政基础设施</v>
      </c>
      <c r="AA37" s="752">
        <f t="shared" si="3"/>
        <v>1</v>
      </c>
      <c r="AB37" s="752">
        <f t="shared" si="4"/>
        <v>1</v>
      </c>
      <c r="AC37" s="752">
        <f t="shared" si="5"/>
        <v>1</v>
      </c>
    </row>
    <row r="38" spans="1:29" ht="15">
      <c r="A38" s="453"/>
      <c r="B38" s="402" t="s">
        <v>2460</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1" t="s">
        <v>2370</v>
      </c>
      <c r="Q38" s="1899" t="str">
        <f t="shared" si="11"/>
        <v>业态</v>
      </c>
      <c r="R38" s="753" t="s">
        <v>25</v>
      </c>
      <c r="S38" s="754">
        <f t="shared" si="12"/>
        <v>100</v>
      </c>
      <c r="T38" s="753" t="s">
        <v>25</v>
      </c>
      <c r="U38" s="754">
        <f t="shared" si="13"/>
        <v>100</v>
      </c>
      <c r="V38" s="753" t="s">
        <v>25</v>
      </c>
      <c r="W38" s="754">
        <f t="shared" si="14"/>
        <v>100</v>
      </c>
      <c r="X38" s="1900"/>
      <c r="Y38" s="3013" t="s">
        <v>2370</v>
      </c>
      <c r="Z38" s="1902" t="str">
        <f t="shared" si="15"/>
        <v>业态</v>
      </c>
      <c r="AA38" s="1903">
        <f t="shared" si="3"/>
        <v>1</v>
      </c>
      <c r="AB38" s="1903">
        <f t="shared" si="4"/>
        <v>1</v>
      </c>
      <c r="AC38" s="1903">
        <f t="shared" si="5"/>
        <v>1</v>
      </c>
    </row>
    <row r="39" spans="1:29" ht="15">
      <c r="A39" s="453"/>
      <c r="B39" s="402" t="s">
        <v>2461</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1"/>
      <c r="Q39" s="1899" t="str">
        <f t="shared" si="11"/>
        <v>层高</v>
      </c>
      <c r="R39" s="753" t="s">
        <v>25</v>
      </c>
      <c r="S39" s="754">
        <f t="shared" si="12"/>
        <v>100</v>
      </c>
      <c r="T39" s="753" t="s">
        <v>25</v>
      </c>
      <c r="U39" s="754">
        <f t="shared" si="13"/>
        <v>100</v>
      </c>
      <c r="V39" s="753" t="s">
        <v>25</v>
      </c>
      <c r="W39" s="754">
        <f t="shared" si="14"/>
        <v>100</v>
      </c>
      <c r="X39" s="1900"/>
      <c r="Y39" s="3013"/>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1"/>
      <c r="Q40" s="1899" t="str">
        <f t="shared" si="11"/>
        <v>单套建筑面积</v>
      </c>
      <c r="R40" s="753" t="s">
        <v>25</v>
      </c>
      <c r="S40" s="754">
        <f t="shared" si="12"/>
        <v>100</v>
      </c>
      <c r="T40" s="753" t="s">
        <v>25</v>
      </c>
      <c r="U40" s="754">
        <f t="shared" si="13"/>
        <v>100</v>
      </c>
      <c r="V40" s="753" t="s">
        <v>25</v>
      </c>
      <c r="W40" s="754">
        <f t="shared" si="14"/>
        <v>100</v>
      </c>
      <c r="X40" s="1900"/>
      <c r="Y40" s="3013"/>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1"/>
      <c r="Q41" s="755" t="str">
        <f t="shared" si="11"/>
        <v>进深比</v>
      </c>
      <c r="R41" s="756" t="s">
        <v>25</v>
      </c>
      <c r="S41" s="757">
        <f t="shared" si="12"/>
        <v>100</v>
      </c>
      <c r="T41" s="756" t="s">
        <v>25</v>
      </c>
      <c r="U41" s="757">
        <f t="shared" si="13"/>
        <v>100</v>
      </c>
      <c r="V41" s="756" t="s">
        <v>25</v>
      </c>
      <c r="W41" s="757">
        <f t="shared" si="14"/>
        <v>100</v>
      </c>
      <c r="X41" s="758"/>
      <c r="Y41" s="3013"/>
      <c r="Z41" s="759" t="str">
        <f t="shared" si="15"/>
        <v>进深比</v>
      </c>
      <c r="AA41" s="1903">
        <f t="shared" si="3"/>
        <v>1</v>
      </c>
      <c r="AB41" s="1903">
        <f t="shared" si="4"/>
        <v>1</v>
      </c>
      <c r="AC41" s="1903">
        <f t="shared" si="5"/>
        <v>1</v>
      </c>
    </row>
    <row r="42" spans="1:29" ht="15">
      <c r="A42" s="453"/>
      <c r="B42" s="402" t="s">
        <v>2464</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1"/>
      <c r="Q42" s="1899" t="str">
        <f t="shared" si="11"/>
        <v>内部装修</v>
      </c>
      <c r="R42" s="753" t="s">
        <v>25</v>
      </c>
      <c r="S42" s="754">
        <f t="shared" si="12"/>
        <v>100</v>
      </c>
      <c r="T42" s="753" t="s">
        <v>25</v>
      </c>
      <c r="U42" s="754">
        <f t="shared" si="13"/>
        <v>100</v>
      </c>
      <c r="V42" s="753" t="s">
        <v>25</v>
      </c>
      <c r="W42" s="754">
        <f t="shared" si="14"/>
        <v>100</v>
      </c>
      <c r="X42" s="1900"/>
      <c r="Y42" s="3013"/>
      <c r="Z42" s="1902" t="str">
        <f t="shared" si="15"/>
        <v>内部装修</v>
      </c>
      <c r="AA42" s="1903">
        <f t="shared" si="3"/>
        <v>1</v>
      </c>
      <c r="AB42" s="1903">
        <f t="shared" si="4"/>
        <v>1</v>
      </c>
      <c r="AC42" s="1903">
        <f t="shared" si="5"/>
        <v>1</v>
      </c>
    </row>
    <row r="43" spans="1:29" ht="15">
      <c r="A43" s="453"/>
      <c r="B43" s="402" t="s">
        <v>2381</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1"/>
      <c r="Q43" s="1899" t="str">
        <f t="shared" si="11"/>
        <v>内部装修维护情况</v>
      </c>
      <c r="R43" s="753" t="s">
        <v>25</v>
      </c>
      <c r="S43" s="754">
        <f t="shared" si="12"/>
        <v>100</v>
      </c>
      <c r="T43" s="753" t="s">
        <v>25</v>
      </c>
      <c r="U43" s="754">
        <f t="shared" si="13"/>
        <v>100</v>
      </c>
      <c r="V43" s="753" t="s">
        <v>25</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1"/>
      <c r="Q44" s="1887">
        <f t="shared" si="11"/>
        <v>111</v>
      </c>
      <c r="R44" s="749" t="s">
        <v>25</v>
      </c>
      <c r="S44" s="750">
        <f t="shared" si="12"/>
        <v>100</v>
      </c>
      <c r="T44" s="749" t="s">
        <v>25</v>
      </c>
      <c r="U44" s="750">
        <f t="shared" si="13"/>
        <v>100</v>
      </c>
      <c r="V44" s="749" t="s">
        <v>25</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1"/>
      <c r="Q45" s="1899">
        <f t="shared" si="11"/>
        <v>111</v>
      </c>
      <c r="R45" s="753" t="s">
        <v>25</v>
      </c>
      <c r="S45" s="754">
        <f t="shared" si="12"/>
        <v>100</v>
      </c>
      <c r="T45" s="753" t="s">
        <v>25</v>
      </c>
      <c r="U45" s="754">
        <f t="shared" si="13"/>
        <v>100</v>
      </c>
      <c r="V45" s="753" t="s">
        <v>25</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2"/>
      <c r="Q46" s="1899">
        <f t="shared" si="11"/>
        <v>111</v>
      </c>
      <c r="R46" s="753" t="s">
        <v>25</v>
      </c>
      <c r="S46" s="754">
        <f t="shared" si="12"/>
        <v>100</v>
      </c>
      <c r="T46" s="753" t="s">
        <v>25</v>
      </c>
      <c r="U46" s="754">
        <f t="shared" si="13"/>
        <v>100</v>
      </c>
      <c r="V46" s="753" t="s">
        <v>25</v>
      </c>
      <c r="W46" s="754">
        <f t="shared" si="14"/>
        <v>100</v>
      </c>
      <c r="X46" s="1900"/>
      <c r="Y46" s="3014"/>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05" t="str">
        <f>A48</f>
        <v>比较价值（元/平方米）</v>
      </c>
      <c r="Q48" s="3005"/>
      <c r="R48" s="3001" t="e">
        <f>IF(E1="售价",ROUND(PRODUCT(R47,AA7:AA46),0),ROUND(PRODUCT(R47,AA7:AA46),1))</f>
        <v>#DIV/0!</v>
      </c>
      <c r="S48" s="3001"/>
      <c r="T48" s="3001" t="e">
        <f>IF(E1="售价",ROUND(PRODUCT(T47,AB7:AB46),0),ROUND(PRODUCT(T47,AB7:AB46),1))</f>
        <v>#DIV/0!</v>
      </c>
      <c r="U48" s="3001"/>
      <c r="V48" s="3001" t="e">
        <f>IF(E1="售价",ROUND(PRODUCT(V47,AC7:AC46),0),ROUND(PRODUCT(V47,AC7:AC46),1))</f>
        <v>#DIV/0!</v>
      </c>
      <c r="W48" s="3001"/>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2017-8</v>
      </c>
      <c r="D58" s="1679">
        <f>EDATE(C58,-1)</f>
        <v>42917</v>
      </c>
      <c r="E58" s="1679">
        <f t="shared" ref="E58:O58" si="16">EDATE(D58,-1)</f>
        <v>42887</v>
      </c>
      <c r="F58" s="1679">
        <f t="shared" si="16"/>
        <v>42856</v>
      </c>
      <c r="G58" s="1679">
        <f t="shared" si="16"/>
        <v>42826</v>
      </c>
      <c r="H58" s="1679">
        <f t="shared" si="16"/>
        <v>42795</v>
      </c>
      <c r="I58" s="1679">
        <f t="shared" si="16"/>
        <v>42767</v>
      </c>
      <c r="J58" s="1679">
        <f t="shared" si="16"/>
        <v>42736</v>
      </c>
      <c r="K58" s="1679">
        <f t="shared" si="16"/>
        <v>42705</v>
      </c>
      <c r="L58" s="1679">
        <f t="shared" si="16"/>
        <v>42675</v>
      </c>
      <c r="M58" s="1679">
        <f t="shared" si="16"/>
        <v>42644</v>
      </c>
      <c r="N58" s="1679">
        <f t="shared" si="16"/>
        <v>42614</v>
      </c>
      <c r="O58" s="1679">
        <f t="shared" si="16"/>
        <v>42583</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2354</v>
      </c>
      <c r="B61" s="491"/>
      <c r="C61" s="503" t="s">
        <v>2355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2393</v>
      </c>
      <c r="B63" s="509" t="s">
        <v>2358</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2471</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2368</v>
      </c>
      <c r="B100" s="509" t="s">
        <v>2472</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2419</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2421</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2473</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2474</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2475</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2426</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3"/>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2338</v>
      </c>
      <c r="D3" s="378">
        <f>IF(C1="仅计算典型户型",'数据-取费表'!E5,'数据-取费表'!B5)</f>
        <v>689.57</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51" t="s">
        <v>2345</v>
      </c>
      <c r="Q4" s="3037"/>
      <c r="R4" s="3021" t="s">
        <v>2341</v>
      </c>
      <c r="S4" s="3022"/>
      <c r="T4" s="3021" t="s">
        <v>2342</v>
      </c>
      <c r="U4" s="3022"/>
      <c r="V4" s="3042" t="s">
        <v>2343</v>
      </c>
      <c r="W4" s="3042"/>
      <c r="X4" s="1900"/>
      <c r="Y4" s="3021" t="s">
        <v>2345</v>
      </c>
      <c r="Z4" s="3022"/>
      <c r="AA4" s="3029" t="s">
        <v>2341</v>
      </c>
      <c r="AB4" s="3029"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52"/>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53"/>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42961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27"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7" t="s">
        <v>2356</v>
      </c>
      <c r="Q8" s="3020"/>
      <c r="R8" s="749" t="s">
        <v>25</v>
      </c>
      <c r="S8" s="750">
        <f t="shared" si="0"/>
        <v>0</v>
      </c>
      <c r="T8" s="749" t="s">
        <v>25</v>
      </c>
      <c r="U8" s="750">
        <f t="shared" si="1"/>
        <v>0</v>
      </c>
      <c r="V8" s="749" t="s">
        <v>25</v>
      </c>
      <c r="W8" s="750">
        <f t="shared" si="2"/>
        <v>0</v>
      </c>
      <c r="X8" s="751"/>
      <c r="Y8" s="3019" t="s">
        <v>2356</v>
      </c>
      <c r="Z8" s="3020"/>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3"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3"/>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3"/>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3"/>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3"/>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2363</v>
      </c>
      <c r="B15" s="613" t="s">
        <v>2478</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7" t="s">
        <v>2364</v>
      </c>
      <c r="Q15" s="1899" t="str">
        <f t="shared" si="6"/>
        <v>办公集聚程度</v>
      </c>
      <c r="R15" s="753" t="s">
        <v>25</v>
      </c>
      <c r="S15" s="754">
        <f t="shared" si="0"/>
        <v>100</v>
      </c>
      <c r="T15" s="753" t="s">
        <v>25</v>
      </c>
      <c r="U15" s="754">
        <f t="shared" si="1"/>
        <v>100</v>
      </c>
      <c r="V15" s="753" t="s">
        <v>25</v>
      </c>
      <c r="W15" s="754">
        <f t="shared" si="2"/>
        <v>100</v>
      </c>
      <c r="X15" s="1900"/>
      <c r="Y15" s="3008"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9"/>
      <c r="Q16" s="1899"/>
      <c r="R16" s="753"/>
      <c r="S16" s="754"/>
      <c r="T16" s="753"/>
      <c r="U16" s="754"/>
      <c r="V16" s="753"/>
      <c r="W16" s="754"/>
      <c r="X16" s="1900"/>
      <c r="Y16" s="3009"/>
      <c r="Z16" s="1902"/>
      <c r="AA16" s="1903">
        <v>1</v>
      </c>
      <c r="AB16" s="1903">
        <v>1</v>
      </c>
      <c r="AC16" s="1903">
        <v>1</v>
      </c>
    </row>
    <row r="17" spans="1:29" ht="85.5">
      <c r="A17" s="408"/>
      <c r="B17" s="615" t="s">
        <v>1749</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39"/>
      <c r="Q18" s="1899"/>
      <c r="R18" s="753"/>
      <c r="S18" s="754"/>
      <c r="T18" s="753"/>
      <c r="U18" s="754"/>
      <c r="V18" s="753"/>
      <c r="W18" s="754"/>
      <c r="X18" s="1900"/>
      <c r="Y18" s="3009"/>
      <c r="Z18" s="1902"/>
      <c r="AA18" s="1903">
        <v>1</v>
      </c>
      <c r="AB18" s="1903">
        <v>1</v>
      </c>
      <c r="AC18" s="1903">
        <v>1</v>
      </c>
    </row>
    <row r="19" spans="1:29" ht="42.75">
      <c r="A19" s="408"/>
      <c r="B19" s="615" t="s">
        <v>2479</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39"/>
      <c r="Q20" s="1899"/>
      <c r="R20" s="753"/>
      <c r="S20" s="754"/>
      <c r="T20" s="753"/>
      <c r="U20" s="754"/>
      <c r="V20" s="753"/>
      <c r="W20" s="754"/>
      <c r="X20" s="1900"/>
      <c r="Y20" s="3009"/>
      <c r="Z20" s="1902"/>
      <c r="AA20" s="1903">
        <v>1</v>
      </c>
      <c r="AB20" s="1903">
        <v>1</v>
      </c>
      <c r="AC20" s="1903">
        <v>1</v>
      </c>
    </row>
    <row r="21" spans="1:29" ht="28.5">
      <c r="A21" s="408"/>
      <c r="B21" s="617" t="s">
        <v>2480</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39"/>
      <c r="Q22" s="1899"/>
      <c r="R22" s="753"/>
      <c r="S22" s="754"/>
      <c r="T22" s="753"/>
      <c r="U22" s="754"/>
      <c r="V22" s="753"/>
      <c r="W22" s="754"/>
      <c r="X22" s="1900"/>
      <c r="Y22" s="3009"/>
      <c r="Z22" s="1902"/>
      <c r="AA22" s="1903">
        <v>1</v>
      </c>
      <c r="AB22" s="1903">
        <v>1</v>
      </c>
      <c r="AC22" s="1903">
        <v>1</v>
      </c>
    </row>
    <row r="23" spans="1:29" ht="57">
      <c r="A23" s="408"/>
      <c r="B23" s="615" t="s">
        <v>2481</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39"/>
      <c r="Q24" s="1899"/>
      <c r="R24" s="753"/>
      <c r="S24" s="754"/>
      <c r="T24" s="753"/>
      <c r="U24" s="754"/>
      <c r="V24" s="753"/>
      <c r="W24" s="754"/>
      <c r="X24" s="1900"/>
      <c r="Y24" s="3009"/>
      <c r="Z24" s="1902"/>
      <c r="AA24" s="1903">
        <v>1</v>
      </c>
      <c r="AB24" s="1903">
        <v>1</v>
      </c>
      <c r="AC24" s="1903">
        <v>1</v>
      </c>
    </row>
    <row r="25" spans="1:29" ht="27">
      <c r="A25" s="383"/>
      <c r="B25" s="615" t="s">
        <v>2482</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39"/>
      <c r="Q25" s="1899" t="str">
        <f>B25</f>
        <v>毗邻道路的类型与等级</v>
      </c>
      <c r="R25" s="753" t="s">
        <v>25</v>
      </c>
      <c r="S25" s="754">
        <f>F25</f>
        <v>100</v>
      </c>
      <c r="T25" s="753" t="s">
        <v>25</v>
      </c>
      <c r="U25" s="754">
        <f>H25</f>
        <v>100</v>
      </c>
      <c r="V25" s="753" t="s">
        <v>25</v>
      </c>
      <c r="W25" s="754">
        <f>J25</f>
        <v>100</v>
      </c>
      <c r="X25" s="1900"/>
      <c r="Y25" s="300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9"/>
      <c r="Q26" s="1899"/>
      <c r="R26" s="753"/>
      <c r="S26" s="754"/>
      <c r="T26" s="753"/>
      <c r="U26" s="754"/>
      <c r="V26" s="753"/>
      <c r="W26" s="754"/>
      <c r="X26" s="1900"/>
      <c r="Y26" s="3009"/>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9"/>
      <c r="Q27" s="1899" t="str">
        <f t="shared" ref="Q27:Q47" si="11">B27</f>
        <v>楼层</v>
      </c>
      <c r="R27" s="753" t="s">
        <v>25</v>
      </c>
      <c r="S27" s="754">
        <f>F27</f>
        <v>100</v>
      </c>
      <c r="T27" s="753" t="s">
        <v>25</v>
      </c>
      <c r="U27" s="754">
        <f>H27</f>
        <v>100</v>
      </c>
      <c r="V27" s="753" t="s">
        <v>25</v>
      </c>
      <c r="W27" s="754">
        <f>J27</f>
        <v>100</v>
      </c>
      <c r="X27" s="1900"/>
      <c r="Y27" s="3009"/>
      <c r="Z27" s="1902" t="str">
        <f>Q27</f>
        <v>楼层</v>
      </c>
      <c r="AA27" s="1903">
        <f t="shared" si="3"/>
        <v>1</v>
      </c>
      <c r="AB27" s="1903">
        <f t="shared" si="4"/>
        <v>1</v>
      </c>
      <c r="AC27" s="1903">
        <f t="shared" si="5"/>
        <v>1</v>
      </c>
    </row>
    <row r="28" spans="1:29" s="35" customFormat="1" ht="15">
      <c r="A28" s="411"/>
      <c r="B28" s="615" t="s">
        <v>2483</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39"/>
      <c r="Q28" s="1887" t="str">
        <f t="shared" si="11"/>
        <v>朝向</v>
      </c>
      <c r="R28" s="749" t="s">
        <v>25</v>
      </c>
      <c r="S28" s="750">
        <f>F28</f>
        <v>100</v>
      </c>
      <c r="T28" s="749" t="s">
        <v>25</v>
      </c>
      <c r="U28" s="750">
        <f>H28</f>
        <v>100</v>
      </c>
      <c r="V28" s="749" t="s">
        <v>25</v>
      </c>
      <c r="W28" s="750">
        <f>J28</f>
        <v>100</v>
      </c>
      <c r="X28" s="751"/>
      <c r="Y28" s="300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9"/>
      <c r="Q29" s="1899">
        <f t="shared" si="11"/>
        <v>111</v>
      </c>
      <c r="R29" s="753" t="s">
        <v>25</v>
      </c>
      <c r="S29" s="754">
        <f t="shared" ref="S29:S47" si="12">F29</f>
        <v>100</v>
      </c>
      <c r="T29" s="753" t="s">
        <v>25</v>
      </c>
      <c r="U29" s="754">
        <f t="shared" ref="U29:U47" si="13">H29</f>
        <v>100</v>
      </c>
      <c r="V29" s="753" t="s">
        <v>25</v>
      </c>
      <c r="W29" s="754">
        <f t="shared" ref="W29:W47" si="14">J29</f>
        <v>100</v>
      </c>
      <c r="X29" s="1900"/>
      <c r="Y29" s="300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9"/>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9"/>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9"/>
      <c r="Q32" s="1899">
        <f t="shared" si="11"/>
        <v>111</v>
      </c>
      <c r="R32" s="753" t="s">
        <v>25</v>
      </c>
      <c r="S32" s="754">
        <f t="shared" si="12"/>
        <v>100</v>
      </c>
      <c r="T32" s="753" t="s">
        <v>25</v>
      </c>
      <c r="U32" s="754">
        <f t="shared" si="13"/>
        <v>100</v>
      </c>
      <c r="V32" s="753" t="s">
        <v>25</v>
      </c>
      <c r="W32" s="754">
        <f t="shared" si="14"/>
        <v>100</v>
      </c>
      <c r="X32" s="1900"/>
      <c r="Y32" s="3009"/>
      <c r="Z32" s="1902">
        <f t="shared" si="15"/>
        <v>111</v>
      </c>
      <c r="AA32" s="1903">
        <f t="shared" si="3"/>
        <v>1</v>
      </c>
      <c r="AB32" s="1903">
        <f t="shared" si="4"/>
        <v>1</v>
      </c>
      <c r="AC32" s="1903">
        <f t="shared" si="5"/>
        <v>1</v>
      </c>
    </row>
    <row r="33" spans="1:29" ht="15">
      <c r="A33" s="419" t="s">
        <v>2368</v>
      </c>
      <c r="B33" s="28" t="s">
        <v>2484</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48" t="s">
        <v>2370</v>
      </c>
      <c r="Q33" s="1899" t="str">
        <f t="shared" si="11"/>
        <v>建筑类型</v>
      </c>
      <c r="R33" s="753" t="s">
        <v>25</v>
      </c>
      <c r="S33" s="754">
        <f t="shared" si="12"/>
        <v>100</v>
      </c>
      <c r="T33" s="753" t="s">
        <v>25</v>
      </c>
      <c r="U33" s="754">
        <f t="shared" si="13"/>
        <v>100</v>
      </c>
      <c r="V33" s="753" t="s">
        <v>25</v>
      </c>
      <c r="W33" s="754">
        <f t="shared" si="14"/>
        <v>100</v>
      </c>
      <c r="X33" s="1900"/>
      <c r="Y33" s="3013"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9"/>
      <c r="Q34" s="755" t="str">
        <f t="shared" si="11"/>
        <v>项目建筑规模</v>
      </c>
      <c r="R34" s="756" t="s">
        <v>25</v>
      </c>
      <c r="S34" s="757" t="e">
        <f t="shared" si="12"/>
        <v>#N/A</v>
      </c>
      <c r="T34" s="756" t="s">
        <v>25</v>
      </c>
      <c r="U34" s="757" t="e">
        <f t="shared" si="13"/>
        <v>#N/A</v>
      </c>
      <c r="V34" s="756" t="s">
        <v>25</v>
      </c>
      <c r="W34" s="757" t="e">
        <f t="shared" si="14"/>
        <v>#N/A</v>
      </c>
      <c r="X34" s="758"/>
      <c r="Y34" s="3013"/>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9"/>
      <c r="Q35" s="1899" t="str">
        <f t="shared" si="11"/>
        <v>建筑结构</v>
      </c>
      <c r="R35" s="753" t="s">
        <v>25</v>
      </c>
      <c r="S35" s="754">
        <f t="shared" si="12"/>
        <v>100</v>
      </c>
      <c r="T35" s="753" t="s">
        <v>25</v>
      </c>
      <c r="U35" s="754">
        <f t="shared" si="13"/>
        <v>100</v>
      </c>
      <c r="V35" s="753" t="s">
        <v>25</v>
      </c>
      <c r="W35" s="754">
        <f t="shared" si="14"/>
        <v>100</v>
      </c>
      <c r="X35" s="1900"/>
      <c r="Y35" s="3013"/>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9"/>
      <c r="Q36" s="1899" t="str">
        <f t="shared" si="11"/>
        <v>公共部分装修</v>
      </c>
      <c r="R36" s="753" t="s">
        <v>25</v>
      </c>
      <c r="S36" s="754">
        <f t="shared" si="12"/>
        <v>100</v>
      </c>
      <c r="T36" s="753" t="s">
        <v>25</v>
      </c>
      <c r="U36" s="754">
        <f t="shared" si="13"/>
        <v>100</v>
      </c>
      <c r="V36" s="753" t="s">
        <v>25</v>
      </c>
      <c r="W36" s="754">
        <f t="shared" si="14"/>
        <v>100</v>
      </c>
      <c r="X36" s="1900"/>
      <c r="Y36" s="3013"/>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9"/>
      <c r="Q37" s="1899" t="str">
        <f t="shared" si="11"/>
        <v>成新度</v>
      </c>
      <c r="R37" s="753" t="s">
        <v>25</v>
      </c>
      <c r="S37" s="754" t="e">
        <f t="shared" si="12"/>
        <v>#N/A</v>
      </c>
      <c r="T37" s="753" t="s">
        <v>25</v>
      </c>
      <c r="U37" s="754" t="e">
        <f t="shared" si="13"/>
        <v>#N/A</v>
      </c>
      <c r="V37" s="753" t="s">
        <v>25</v>
      </c>
      <c r="W37" s="754" t="e">
        <f t="shared" si="14"/>
        <v>#N/A</v>
      </c>
      <c r="X37" s="1900"/>
      <c r="Y37" s="3013"/>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9"/>
      <c r="Q38" s="1887" t="str">
        <f t="shared" si="11"/>
        <v>写字楼等级</v>
      </c>
      <c r="R38" s="749" t="s">
        <v>25</v>
      </c>
      <c r="S38" s="750">
        <f t="shared" si="12"/>
        <v>100</v>
      </c>
      <c r="T38" s="749" t="s">
        <v>25</v>
      </c>
      <c r="U38" s="750">
        <f t="shared" si="13"/>
        <v>100</v>
      </c>
      <c r="V38" s="749" t="s">
        <v>25</v>
      </c>
      <c r="W38" s="750">
        <f t="shared" si="14"/>
        <v>100</v>
      </c>
      <c r="X38" s="751"/>
      <c r="Y38" s="3013"/>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9" t="s">
        <v>2370</v>
      </c>
      <c r="Q39" s="1899" t="str">
        <f t="shared" si="11"/>
        <v>物业管理</v>
      </c>
      <c r="R39" s="753" t="s">
        <v>25</v>
      </c>
      <c r="S39" s="754">
        <f t="shared" si="12"/>
        <v>100</v>
      </c>
      <c r="T39" s="753" t="s">
        <v>25</v>
      </c>
      <c r="U39" s="754">
        <f t="shared" si="13"/>
        <v>100</v>
      </c>
      <c r="V39" s="753" t="s">
        <v>25</v>
      </c>
      <c r="W39" s="754">
        <f t="shared" si="14"/>
        <v>100</v>
      </c>
      <c r="X39" s="1900"/>
      <c r="Y39" s="3013"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9"/>
      <c r="Q40" s="1899" t="str">
        <f t="shared" si="11"/>
        <v>市政基础设施</v>
      </c>
      <c r="R40" s="753" t="s">
        <v>25</v>
      </c>
      <c r="S40" s="754">
        <f t="shared" si="12"/>
        <v>100</v>
      </c>
      <c r="T40" s="753" t="s">
        <v>25</v>
      </c>
      <c r="U40" s="754">
        <f t="shared" si="13"/>
        <v>100</v>
      </c>
      <c r="V40" s="753" t="s">
        <v>25</v>
      </c>
      <c r="W40" s="754">
        <f t="shared" si="14"/>
        <v>100</v>
      </c>
      <c r="X40" s="1900"/>
      <c r="Y40" s="3013"/>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9"/>
      <c r="Q41" s="1899" t="str">
        <f t="shared" si="11"/>
        <v>层高</v>
      </c>
      <c r="R41" s="753" t="s">
        <v>25</v>
      </c>
      <c r="S41" s="754">
        <f t="shared" si="12"/>
        <v>100</v>
      </c>
      <c r="T41" s="753" t="s">
        <v>25</v>
      </c>
      <c r="U41" s="754">
        <f t="shared" si="13"/>
        <v>100</v>
      </c>
      <c r="V41" s="753" t="s">
        <v>25</v>
      </c>
      <c r="W41" s="754">
        <f t="shared" si="14"/>
        <v>100</v>
      </c>
      <c r="X41" s="1900"/>
      <c r="Y41" s="3013"/>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9"/>
      <c r="Q42" s="755" t="str">
        <f t="shared" si="11"/>
        <v>单套建筑面积</v>
      </c>
      <c r="R42" s="756" t="s">
        <v>25</v>
      </c>
      <c r="S42" s="757">
        <f t="shared" si="12"/>
        <v>100</v>
      </c>
      <c r="T42" s="756" t="s">
        <v>25</v>
      </c>
      <c r="U42" s="757">
        <f t="shared" si="13"/>
        <v>100</v>
      </c>
      <c r="V42" s="756" t="s">
        <v>25</v>
      </c>
      <c r="W42" s="757">
        <f t="shared" si="14"/>
        <v>100</v>
      </c>
      <c r="X42" s="758"/>
      <c r="Y42" s="3013"/>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9"/>
      <c r="Q43" s="1899" t="str">
        <f t="shared" si="11"/>
        <v>内部装修</v>
      </c>
      <c r="R43" s="753" t="s">
        <v>25</v>
      </c>
      <c r="S43" s="754">
        <f t="shared" si="12"/>
        <v>100</v>
      </c>
      <c r="T43" s="753" t="s">
        <v>25</v>
      </c>
      <c r="U43" s="754">
        <f t="shared" si="13"/>
        <v>100</v>
      </c>
      <c r="V43" s="753" t="s">
        <v>25</v>
      </c>
      <c r="W43" s="754">
        <f t="shared" si="14"/>
        <v>100</v>
      </c>
      <c r="X43" s="1900"/>
      <c r="Y43" s="3013"/>
      <c r="Z43" s="1902" t="str">
        <f t="shared" si="15"/>
        <v>内部装修</v>
      </c>
      <c r="AA43" s="1903">
        <f t="shared" si="3"/>
        <v>1</v>
      </c>
      <c r="AB43" s="1903">
        <f t="shared" si="4"/>
        <v>1</v>
      </c>
      <c r="AC43" s="1903">
        <f t="shared" si="5"/>
        <v>1</v>
      </c>
    </row>
    <row r="44" spans="1:29" ht="15">
      <c r="A44" s="453"/>
      <c r="B44" s="402" t="s">
        <v>2381</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49"/>
      <c r="Q44" s="1899" t="str">
        <f t="shared" si="11"/>
        <v>内部装修维护情况</v>
      </c>
      <c r="R44" s="753" t="s">
        <v>25</v>
      </c>
      <c r="S44" s="754">
        <f t="shared" si="12"/>
        <v>100</v>
      </c>
      <c r="T44" s="753" t="s">
        <v>25</v>
      </c>
      <c r="U44" s="754">
        <f t="shared" si="13"/>
        <v>100</v>
      </c>
      <c r="V44" s="753" t="s">
        <v>25</v>
      </c>
      <c r="W44" s="754">
        <f t="shared" si="14"/>
        <v>100</v>
      </c>
      <c r="X44" s="1900"/>
      <c r="Y44" s="301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9"/>
      <c r="Q45" s="1887">
        <f t="shared" si="11"/>
        <v>111</v>
      </c>
      <c r="R45" s="749" t="s">
        <v>25</v>
      </c>
      <c r="S45" s="750">
        <f t="shared" si="12"/>
        <v>100</v>
      </c>
      <c r="T45" s="749" t="s">
        <v>25</v>
      </c>
      <c r="U45" s="750">
        <f t="shared" si="13"/>
        <v>100</v>
      </c>
      <c r="V45" s="749" t="s">
        <v>25</v>
      </c>
      <c r="W45" s="750">
        <f t="shared" si="14"/>
        <v>100</v>
      </c>
      <c r="X45" s="751"/>
      <c r="Y45" s="301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1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0"/>
      <c r="Q47" s="1899">
        <f t="shared" si="11"/>
        <v>111</v>
      </c>
      <c r="R47" s="753" t="s">
        <v>25</v>
      </c>
      <c r="S47" s="754">
        <f t="shared" si="12"/>
        <v>100</v>
      </c>
      <c r="T47" s="753" t="s">
        <v>25</v>
      </c>
      <c r="U47" s="754">
        <f t="shared" si="13"/>
        <v>100</v>
      </c>
      <c r="V47" s="753" t="s">
        <v>25</v>
      </c>
      <c r="W47" s="754">
        <f t="shared" si="14"/>
        <v>100</v>
      </c>
      <c r="X47" s="1900"/>
      <c r="Y47" s="3014"/>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03" t="str">
        <f>A48</f>
        <v>成交单价（元/平方米）</v>
      </c>
      <c r="Q48" s="3005"/>
      <c r="R48" s="3001">
        <f>E48</f>
        <v>0</v>
      </c>
      <c r="S48" s="3001"/>
      <c r="T48" s="3001">
        <f>G48</f>
        <v>0</v>
      </c>
      <c r="U48" s="3001"/>
      <c r="V48" s="3001">
        <f>I48</f>
        <v>0</v>
      </c>
      <c r="W48" s="3001"/>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03" t="str">
        <f>A49</f>
        <v>比较价值（元/平方米）</v>
      </c>
      <c r="Q49" s="3005"/>
      <c r="R49" s="3001" t="e">
        <f>IF(E1="售价",ROUND(PRODUCT(R48,AA7:AA47),0),ROUND(PRODUCT(R48,AA7:AA47),1))</f>
        <v>#DIV/0!</v>
      </c>
      <c r="S49" s="3001"/>
      <c r="T49" s="3001" t="e">
        <f>IF(E1="售价",ROUND(PRODUCT(T48,AB7:AB47),0),ROUND(PRODUCT(T48,AB7:AB47),1))</f>
        <v>#DIV/0!</v>
      </c>
      <c r="U49" s="3001"/>
      <c r="V49" s="3001" t="e">
        <f>IF(E1="售价",ROUND(PRODUCT(V48,AC7:AC47),0),ROUND(PRODUCT(V48,AC7:AC47),1))</f>
        <v>#DIV/0!</v>
      </c>
      <c r="W49" s="3001"/>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47" t="str">
        <f>A50</f>
        <v>估价对象XX用房的比较价值（楼面单价，元/平方米）</v>
      </c>
      <c r="Q50" s="3003"/>
      <c r="R50" s="3004" t="e">
        <f>IF(E1="售价",ROUND(AVERAGE(R49:V49),0),ROUND(AVERAGE(R49:V49),1))</f>
        <v>#DIV/0!</v>
      </c>
      <c r="S50" s="3004"/>
      <c r="T50" s="3004"/>
      <c r="U50" s="3004"/>
      <c r="V50" s="3004"/>
      <c r="W50" s="300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2017-8</v>
      </c>
      <c r="D59" s="1679">
        <f>EDATE(C59,-1)</f>
        <v>42917</v>
      </c>
      <c r="E59" s="1679">
        <f t="shared" ref="E59:O59" si="16">EDATE(D59,-1)</f>
        <v>42887</v>
      </c>
      <c r="F59" s="1679">
        <f t="shared" si="16"/>
        <v>42856</v>
      </c>
      <c r="G59" s="1679">
        <f t="shared" si="16"/>
        <v>42826</v>
      </c>
      <c r="H59" s="1679">
        <f t="shared" si="16"/>
        <v>42795</v>
      </c>
      <c r="I59" s="1679">
        <f t="shared" si="16"/>
        <v>42767</v>
      </c>
      <c r="J59" s="1679">
        <f t="shared" si="16"/>
        <v>42736</v>
      </c>
      <c r="K59" s="1679">
        <f t="shared" si="16"/>
        <v>42705</v>
      </c>
      <c r="L59" s="1679">
        <f t="shared" si="16"/>
        <v>42675</v>
      </c>
      <c r="M59" s="1679">
        <f t="shared" si="16"/>
        <v>42644</v>
      </c>
      <c r="N59" s="1679">
        <f t="shared" si="16"/>
        <v>42614</v>
      </c>
      <c r="O59" s="1679">
        <f t="shared" si="16"/>
        <v>42583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3"/>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2338</v>
      </c>
      <c r="D3" s="378">
        <f>IF(C1="仅计算典型户型",'数据-取费表'!E5,'数据-取费表'!B5)</f>
        <v>689.57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42961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9"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9" t="s">
        <v>2356</v>
      </c>
      <c r="Q8" s="3020"/>
      <c r="R8" s="749" t="s">
        <v>25</v>
      </c>
      <c r="S8" s="750">
        <f t="shared" si="0"/>
        <v>100</v>
      </c>
      <c r="T8" s="749" t="s">
        <v>25</v>
      </c>
      <c r="U8" s="750">
        <f t="shared" si="1"/>
        <v>100</v>
      </c>
      <c r="V8" s="749" t="s">
        <v>25</v>
      </c>
      <c r="W8" s="750">
        <f t="shared" si="2"/>
        <v>100</v>
      </c>
      <c r="X8" s="751"/>
      <c r="Y8" s="3019" t="s">
        <v>2356</v>
      </c>
      <c r="Z8" s="3020"/>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5"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2363</v>
      </c>
      <c r="B15" s="26" t="s">
        <v>2495</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8" t="s">
        <v>2364</v>
      </c>
      <c r="Q15" s="1899" t="str">
        <f t="shared" si="6"/>
        <v>产业集聚程度</v>
      </c>
      <c r="R15" s="753" t="s">
        <v>25</v>
      </c>
      <c r="S15" s="754">
        <f t="shared" si="0"/>
        <v>100</v>
      </c>
      <c r="T15" s="753" t="s">
        <v>25</v>
      </c>
      <c r="U15" s="754">
        <f t="shared" si="1"/>
        <v>100</v>
      </c>
      <c r="V15" s="753" t="s">
        <v>25</v>
      </c>
      <c r="W15" s="754">
        <f t="shared" si="2"/>
        <v>100</v>
      </c>
      <c r="X15" s="1900"/>
      <c r="Y15" s="3008"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431" t="s">
        <v>1749</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09"/>
      <c r="Q18" s="1899"/>
      <c r="R18" s="753"/>
      <c r="S18" s="754"/>
      <c r="T18" s="753"/>
      <c r="U18" s="754"/>
      <c r="V18" s="753"/>
      <c r="W18" s="754"/>
      <c r="X18" s="1900"/>
      <c r="Y18" s="3009"/>
      <c r="Z18" s="1902"/>
      <c r="AA18" s="1903">
        <v>1</v>
      </c>
      <c r="AB18" s="1903">
        <v>1</v>
      </c>
      <c r="AC18" s="1903">
        <v>1</v>
      </c>
    </row>
    <row r="19" spans="1:29" ht="42.75">
      <c r="A19" s="408"/>
      <c r="B19" s="615" t="s">
        <v>2479</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09"/>
      <c r="Q20" s="1899"/>
      <c r="R20" s="753"/>
      <c r="S20" s="754"/>
      <c r="T20" s="753"/>
      <c r="U20" s="754"/>
      <c r="V20" s="753"/>
      <c r="W20" s="754"/>
      <c r="X20" s="1900"/>
      <c r="Y20" s="3009"/>
      <c r="Z20" s="1902"/>
      <c r="AA20" s="1903">
        <v>1</v>
      </c>
      <c r="AB20" s="1903">
        <v>1</v>
      </c>
      <c r="AC20" s="1903">
        <v>1</v>
      </c>
    </row>
    <row r="21" spans="1:29" ht="28.5">
      <c r="A21" s="408"/>
      <c r="B21" s="617" t="s">
        <v>2480</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09"/>
      <c r="Q22" s="1899"/>
      <c r="R22" s="753"/>
      <c r="S22" s="754"/>
      <c r="T22" s="753"/>
      <c r="U22" s="754"/>
      <c r="V22" s="753"/>
      <c r="W22" s="754"/>
      <c r="X22" s="1900"/>
      <c r="Y22" s="3009"/>
      <c r="Z22" s="1902"/>
      <c r="AA22" s="1903">
        <v>1</v>
      </c>
      <c r="AB22" s="1903">
        <v>1</v>
      </c>
      <c r="AC22" s="1903">
        <v>1</v>
      </c>
    </row>
    <row r="23" spans="1:29" ht="71.25">
      <c r="A23" s="408"/>
      <c r="B23" s="431" t="s">
        <v>2481</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09"/>
      <c r="Q24" s="1899"/>
      <c r="R24" s="753"/>
      <c r="S24" s="754"/>
      <c r="T24" s="753"/>
      <c r="U24" s="754"/>
      <c r="V24" s="753"/>
      <c r="W24" s="754"/>
      <c r="X24" s="1900"/>
      <c r="Y24" s="300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9"/>
      <c r="Q25" s="1899">
        <f>B25</f>
        <v>111</v>
      </c>
      <c r="R25" s="753" t="s">
        <v>25</v>
      </c>
      <c r="S25" s="754">
        <f>F25</f>
        <v>100</v>
      </c>
      <c r="T25" s="753" t="s">
        <v>25</v>
      </c>
      <c r="U25" s="754">
        <f>H25</f>
        <v>100</v>
      </c>
      <c r="V25" s="753" t="s">
        <v>25</v>
      </c>
      <c r="W25" s="754">
        <f>J25</f>
        <v>100</v>
      </c>
      <c r="X25" s="1900"/>
      <c r="Y25" s="300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9"/>
      <c r="Q26" s="1899">
        <f t="shared" ref="Q26:Q40" si="11">B26</f>
        <v>111</v>
      </c>
      <c r="R26" s="753" t="s">
        <v>25</v>
      </c>
      <c r="S26" s="754">
        <f>F26</f>
        <v>100</v>
      </c>
      <c r="T26" s="753" t="s">
        <v>25</v>
      </c>
      <c r="U26" s="754">
        <f>H26</f>
        <v>100</v>
      </c>
      <c r="V26" s="753" t="s">
        <v>25</v>
      </c>
      <c r="W26" s="754">
        <f>J26</f>
        <v>100</v>
      </c>
      <c r="X26" s="1900"/>
      <c r="Y26" s="300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9"/>
      <c r="Q27" s="1887">
        <f t="shared" si="11"/>
        <v>111</v>
      </c>
      <c r="R27" s="749" t="s">
        <v>25</v>
      </c>
      <c r="S27" s="750">
        <f>F27</f>
        <v>100</v>
      </c>
      <c r="T27" s="749" t="s">
        <v>25</v>
      </c>
      <c r="U27" s="750">
        <f>H27</f>
        <v>100</v>
      </c>
      <c r="V27" s="749" t="s">
        <v>25</v>
      </c>
      <c r="W27" s="750">
        <f>J27</f>
        <v>100</v>
      </c>
      <c r="X27" s="751"/>
      <c r="Y27" s="300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9"/>
      <c r="Q28" s="1899">
        <f t="shared" si="11"/>
        <v>111</v>
      </c>
      <c r="R28" s="753" t="s">
        <v>25</v>
      </c>
      <c r="S28" s="754">
        <f t="shared" ref="S28:S40" si="12">F28</f>
        <v>100</v>
      </c>
      <c r="T28" s="753" t="s">
        <v>25</v>
      </c>
      <c r="U28" s="754">
        <f t="shared" ref="U28:U40" si="13">H28</f>
        <v>100</v>
      </c>
      <c r="V28" s="753" t="s">
        <v>25</v>
      </c>
      <c r="W28" s="754">
        <f t="shared" ref="W28:W40" si="14">J28</f>
        <v>100</v>
      </c>
      <c r="X28" s="1900"/>
      <c r="Y28" s="3009"/>
      <c r="Z28" s="1902">
        <f t="shared" ref="Z28:Z40" si="15">Q28</f>
        <v>111</v>
      </c>
      <c r="AA28" s="1903">
        <f t="shared" si="3"/>
        <v>1</v>
      </c>
      <c r="AB28" s="1903">
        <f t="shared" si="4"/>
        <v>1</v>
      </c>
      <c r="AC28" s="1903">
        <f t="shared" si="5"/>
        <v>1</v>
      </c>
    </row>
    <row r="29" spans="1:29" ht="28.5">
      <c r="A29" s="447" t="s">
        <v>2368</v>
      </c>
      <c r="B29" s="28" t="s">
        <v>2484</v>
      </c>
      <c r="C29" s="2474" t="s">
        <v>2496</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4" t="s">
        <v>2370</v>
      </c>
      <c r="Q29" s="1899" t="str">
        <f t="shared" si="11"/>
        <v>建筑类型</v>
      </c>
      <c r="R29" s="753" t="s">
        <v>25</v>
      </c>
      <c r="S29" s="754">
        <f t="shared" si="12"/>
        <v>100</v>
      </c>
      <c r="T29" s="753" t="s">
        <v>25</v>
      </c>
      <c r="U29" s="754">
        <f t="shared" si="13"/>
        <v>100</v>
      </c>
      <c r="V29" s="753" t="s">
        <v>25</v>
      </c>
      <c r="W29" s="754">
        <f t="shared" si="14"/>
        <v>100</v>
      </c>
      <c r="X29" s="1900"/>
      <c r="Y29" s="3013"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3"/>
      <c r="Q30" s="755" t="str">
        <f t="shared" si="11"/>
        <v>项目建筑规模</v>
      </c>
      <c r="R30" s="756" t="s">
        <v>25</v>
      </c>
      <c r="S30" s="757" t="e">
        <f t="shared" si="12"/>
        <v>#N/A</v>
      </c>
      <c r="T30" s="756" t="s">
        <v>25</v>
      </c>
      <c r="U30" s="757" t="e">
        <f t="shared" si="13"/>
        <v>#N/A</v>
      </c>
      <c r="V30" s="756" t="s">
        <v>25</v>
      </c>
      <c r="W30" s="757" t="e">
        <f t="shared" si="14"/>
        <v>#N/A</v>
      </c>
      <c r="X30" s="758"/>
      <c r="Y30" s="3013"/>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3"/>
      <c r="Q31" s="1899" t="str">
        <f t="shared" si="11"/>
        <v>建筑结构</v>
      </c>
      <c r="R31" s="753" t="s">
        <v>25</v>
      </c>
      <c r="S31" s="754">
        <f t="shared" si="12"/>
        <v>100</v>
      </c>
      <c r="T31" s="753" t="s">
        <v>25</v>
      </c>
      <c r="U31" s="754">
        <f t="shared" si="13"/>
        <v>100</v>
      </c>
      <c r="V31" s="753" t="s">
        <v>25</v>
      </c>
      <c r="W31" s="754">
        <f t="shared" si="14"/>
        <v>100</v>
      </c>
      <c r="X31" s="1900"/>
      <c r="Y31" s="3013"/>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3"/>
      <c r="Q32" s="1899" t="str">
        <f t="shared" si="11"/>
        <v>公共部分装修</v>
      </c>
      <c r="R32" s="753" t="s">
        <v>25</v>
      </c>
      <c r="S32" s="754">
        <f t="shared" si="12"/>
        <v>100</v>
      </c>
      <c r="T32" s="753" t="s">
        <v>25</v>
      </c>
      <c r="U32" s="754">
        <f t="shared" si="13"/>
        <v>100</v>
      </c>
      <c r="V32" s="753" t="s">
        <v>25</v>
      </c>
      <c r="W32" s="754">
        <f t="shared" si="14"/>
        <v>100</v>
      </c>
      <c r="X32" s="1900"/>
      <c r="Y32" s="3013"/>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3"/>
      <c r="Q33" s="1899" t="str">
        <f t="shared" si="11"/>
        <v>成新度</v>
      </c>
      <c r="R33" s="753" t="s">
        <v>25</v>
      </c>
      <c r="S33" s="754" t="e">
        <f t="shared" si="12"/>
        <v>#N/A</v>
      </c>
      <c r="T33" s="753" t="s">
        <v>25</v>
      </c>
      <c r="U33" s="754" t="e">
        <f t="shared" si="13"/>
        <v>#N/A</v>
      </c>
      <c r="V33" s="753" t="s">
        <v>25</v>
      </c>
      <c r="W33" s="754" t="e">
        <f t="shared" si="14"/>
        <v>#N/A</v>
      </c>
      <c r="X33" s="1900"/>
      <c r="Y33" s="3013"/>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3"/>
      <c r="Q34" s="1887" t="str">
        <f t="shared" si="11"/>
        <v>物业管理</v>
      </c>
      <c r="R34" s="749" t="s">
        <v>25</v>
      </c>
      <c r="S34" s="750">
        <f t="shared" si="12"/>
        <v>100</v>
      </c>
      <c r="T34" s="749" t="s">
        <v>25</v>
      </c>
      <c r="U34" s="750">
        <f t="shared" si="13"/>
        <v>100</v>
      </c>
      <c r="V34" s="749" t="s">
        <v>25</v>
      </c>
      <c r="W34" s="750">
        <f t="shared" si="14"/>
        <v>100</v>
      </c>
      <c r="X34" s="751"/>
      <c r="Y34" s="3013"/>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3" t="s">
        <v>2370</v>
      </c>
      <c r="Q35" s="1899" t="str">
        <f t="shared" si="11"/>
        <v>市政基础设施</v>
      </c>
      <c r="R35" s="753" t="s">
        <v>25</v>
      </c>
      <c r="S35" s="754">
        <f t="shared" si="12"/>
        <v>100</v>
      </c>
      <c r="T35" s="753" t="s">
        <v>25</v>
      </c>
      <c r="U35" s="754">
        <f t="shared" si="13"/>
        <v>100</v>
      </c>
      <c r="V35" s="753" t="s">
        <v>25</v>
      </c>
      <c r="W35" s="754">
        <f t="shared" si="14"/>
        <v>100</v>
      </c>
      <c r="X35" s="1900"/>
      <c r="Y35" s="3013"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3"/>
      <c r="Q36" s="1899" t="str">
        <f t="shared" si="11"/>
        <v>内部装修</v>
      </c>
      <c r="R36" s="753" t="s">
        <v>25</v>
      </c>
      <c r="S36" s="754">
        <f t="shared" si="12"/>
        <v>100</v>
      </c>
      <c r="T36" s="753" t="s">
        <v>25</v>
      </c>
      <c r="U36" s="754">
        <f t="shared" si="13"/>
        <v>100</v>
      </c>
      <c r="V36" s="753" t="s">
        <v>25</v>
      </c>
      <c r="W36" s="754">
        <f t="shared" si="14"/>
        <v>100</v>
      </c>
      <c r="X36" s="1900"/>
      <c r="Y36" s="3013"/>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3"/>
      <c r="Q37" s="1899" t="str">
        <f t="shared" si="11"/>
        <v>内部装修状况</v>
      </c>
      <c r="R37" s="753" t="s">
        <v>25</v>
      </c>
      <c r="S37" s="754">
        <f t="shared" si="12"/>
        <v>0</v>
      </c>
      <c r="T37" s="753" t="s">
        <v>25</v>
      </c>
      <c r="U37" s="754">
        <f t="shared" si="13"/>
        <v>0</v>
      </c>
      <c r="V37" s="753" t="s">
        <v>25</v>
      </c>
      <c r="W37" s="754">
        <f t="shared" si="14"/>
        <v>0</v>
      </c>
      <c r="X37" s="1900"/>
      <c r="Y37" s="301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3"/>
      <c r="Q38" s="755">
        <f t="shared" si="11"/>
        <v>111</v>
      </c>
      <c r="R38" s="756" t="s">
        <v>25</v>
      </c>
      <c r="S38" s="757">
        <f t="shared" si="12"/>
        <v>100</v>
      </c>
      <c r="T38" s="756" t="s">
        <v>25</v>
      </c>
      <c r="U38" s="757">
        <f t="shared" si="13"/>
        <v>100</v>
      </c>
      <c r="V38" s="756" t="s">
        <v>25</v>
      </c>
      <c r="W38" s="757">
        <f t="shared" si="14"/>
        <v>100</v>
      </c>
      <c r="X38" s="758"/>
      <c r="Y38" s="301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3"/>
      <c r="Q39" s="1899">
        <f t="shared" si="11"/>
        <v>111</v>
      </c>
      <c r="R39" s="753" t="s">
        <v>25</v>
      </c>
      <c r="S39" s="754">
        <f t="shared" si="12"/>
        <v>100</v>
      </c>
      <c r="T39" s="753" t="s">
        <v>25</v>
      </c>
      <c r="U39" s="754">
        <f t="shared" si="13"/>
        <v>100</v>
      </c>
      <c r="V39" s="753" t="s">
        <v>25</v>
      </c>
      <c r="W39" s="754">
        <f t="shared" si="14"/>
        <v>100</v>
      </c>
      <c r="X39" s="1900"/>
      <c r="Y39" s="301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4"/>
      <c r="Q40" s="1899">
        <f t="shared" si="11"/>
        <v>111</v>
      </c>
      <c r="R40" s="753" t="s">
        <v>25</v>
      </c>
      <c r="S40" s="754">
        <f t="shared" si="12"/>
        <v>100</v>
      </c>
      <c r="T40" s="753" t="s">
        <v>25</v>
      </c>
      <c r="U40" s="754">
        <f t="shared" si="13"/>
        <v>100</v>
      </c>
      <c r="V40" s="753" t="s">
        <v>25</v>
      </c>
      <c r="W40" s="754">
        <f t="shared" si="14"/>
        <v>100</v>
      </c>
      <c r="X40" s="1900"/>
      <c r="Y40" s="3014"/>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05" t="str">
        <f>A41</f>
        <v>成交单价（元/平方米）</v>
      </c>
      <c r="Q41" s="3005"/>
      <c r="R41" s="3001">
        <f>E41</f>
        <v>0</v>
      </c>
      <c r="S41" s="3001"/>
      <c r="T41" s="3001">
        <f>G41</f>
        <v>0</v>
      </c>
      <c r="U41" s="3001"/>
      <c r="V41" s="3001">
        <f>I41</f>
        <v>0</v>
      </c>
      <c r="W41" s="3001"/>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05" t="str">
        <f>A42</f>
        <v>比较价值（元/平方米）</v>
      </c>
      <c r="Q42" s="3005"/>
      <c r="R42" s="3001" t="e">
        <f>IF(E1="售价",ROUND(PRODUCT(R41,AA7:AA40),0),ROUND(PRODUCT(R41,AA7:AA40),1))</f>
        <v>#DIV/0!</v>
      </c>
      <c r="S42" s="3001"/>
      <c r="T42" s="3001" t="e">
        <f>IF(E1="售价",ROUND(PRODUCT(T41,AB7:AB40),0),ROUND(PRODUCT(T41,AB7:AB40),1))</f>
        <v>#DIV/0!</v>
      </c>
      <c r="U42" s="3001"/>
      <c r="V42" s="3001" t="e">
        <f>IF(E1="售价",ROUND(PRODUCT(V41,AC7:AC40),0),ROUND(PRODUCT(V41,AC7:AC40),1))</f>
        <v>#DIV/0!</v>
      </c>
      <c r="W42" s="3001"/>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02" t="str">
        <f>A43</f>
        <v>估价对象XX用房的比较价值（楼面单价，元/平方米）</v>
      </c>
      <c r="Q43" s="3003"/>
      <c r="R43" s="3004" t="e">
        <f>IF(E1="售价",ROUND(AVERAGE(R42:V42),0),ROUND(AVERAGE(R42:V42),1))</f>
        <v>#DIV/0!</v>
      </c>
      <c r="S43" s="3004"/>
      <c r="T43" s="3004"/>
      <c r="U43" s="3004"/>
      <c r="V43" s="3004"/>
      <c r="W43" s="300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2017-8</v>
      </c>
      <c r="D52" s="1679">
        <f>EDATE(C52,-1)</f>
        <v>42917</v>
      </c>
      <c r="E52" s="1680">
        <f t="shared" ref="E52:O52" si="16">EDATE(D52,-1)</f>
        <v>42887</v>
      </c>
      <c r="F52" s="1680">
        <f t="shared" si="16"/>
        <v>42856</v>
      </c>
      <c r="G52" s="1680">
        <f t="shared" si="16"/>
        <v>42826</v>
      </c>
      <c r="H52" s="1680">
        <f t="shared" si="16"/>
        <v>42795</v>
      </c>
      <c r="I52" s="1680">
        <f t="shared" si="16"/>
        <v>42767</v>
      </c>
      <c r="J52" s="1680">
        <f t="shared" si="16"/>
        <v>42736</v>
      </c>
      <c r="K52" s="1680">
        <f t="shared" si="16"/>
        <v>42705</v>
      </c>
      <c r="L52" s="1680">
        <f t="shared" si="16"/>
        <v>42675</v>
      </c>
      <c r="M52" s="1680">
        <f t="shared" si="16"/>
        <v>42644</v>
      </c>
      <c r="N52" s="1680">
        <f t="shared" si="16"/>
        <v>42614</v>
      </c>
      <c r="O52" s="1680">
        <f t="shared" si="16"/>
        <v>42583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1"/>
      <c r="C1" s="1729"/>
      <c r="D1" s="1730"/>
      <c r="E1" s="2383"/>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2338</v>
      </c>
      <c r="D3" s="378">
        <f>IF(C1="仅计算典型户型",'数据-取费表'!E5,'数据-取费表'!B5)</f>
        <v>689.57</v>
      </c>
      <c r="E3" s="1092" t="s">
        <v>2506</v>
      </c>
      <c r="F3" s="379">
        <f>'数据-取费表'!B41</f>
        <v>689.57</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32" t="s">
        <v>2340</v>
      </c>
      <c r="D4" s="3033"/>
      <c r="E4" s="3034" t="s">
        <v>2341</v>
      </c>
      <c r="F4" s="3035"/>
      <c r="G4" s="3032" t="s">
        <v>2342</v>
      </c>
      <c r="H4" s="3033"/>
      <c r="I4" s="3032" t="s">
        <v>2343</v>
      </c>
      <c r="J4" s="3033"/>
      <c r="K4" s="594" t="s">
        <v>2344</v>
      </c>
      <c r="L4" s="1514"/>
      <c r="M4" s="425"/>
      <c r="N4" s="425"/>
      <c r="O4" s="425"/>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29" ht="15">
      <c r="A5" s="383"/>
      <c r="B5" s="384"/>
      <c r="C5" s="3017" t="s">
        <v>2346</v>
      </c>
      <c r="D5" s="3018"/>
      <c r="E5" s="3043" t="s">
        <v>2347</v>
      </c>
      <c r="F5" s="3044"/>
      <c r="G5" s="3017" t="s">
        <v>2348</v>
      </c>
      <c r="H5" s="3018"/>
      <c r="I5" s="3017" t="s">
        <v>2349</v>
      </c>
      <c r="J5" s="3018"/>
      <c r="K5" s="594"/>
      <c r="L5" s="1514"/>
      <c r="M5" s="425"/>
      <c r="N5" s="425"/>
      <c r="O5" s="425"/>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514"/>
      <c r="M6" s="425"/>
      <c r="N6" s="425"/>
      <c r="O6" s="425"/>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42961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9" t="s">
        <v>2353</v>
      </c>
      <c r="Q7" s="3027"/>
      <c r="R7" s="749" t="s">
        <v>25</v>
      </c>
      <c r="S7" s="750">
        <f t="shared" ref="S7:S14" si="0">F7</f>
        <v>0</v>
      </c>
      <c r="T7" s="749" t="s">
        <v>25</v>
      </c>
      <c r="U7" s="750">
        <f t="shared" ref="U7:U14" si="1">H7</f>
        <v>0</v>
      </c>
      <c r="V7" s="749" t="s">
        <v>25</v>
      </c>
      <c r="W7" s="750">
        <f t="shared" ref="W7:W14"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9" t="s">
        <v>2356</v>
      </c>
      <c r="Q8" s="3020"/>
      <c r="R8" s="749" t="s">
        <v>25</v>
      </c>
      <c r="S8" s="750">
        <f t="shared" si="0"/>
        <v>0</v>
      </c>
      <c r="T8" s="749" t="s">
        <v>25</v>
      </c>
      <c r="U8" s="750">
        <f t="shared" si="1"/>
        <v>0</v>
      </c>
      <c r="V8" s="749" t="s">
        <v>25</v>
      </c>
      <c r="W8" s="750">
        <f t="shared" si="2"/>
        <v>0</v>
      </c>
      <c r="X8" s="751"/>
      <c r="Y8" s="3019" t="s">
        <v>2356</v>
      </c>
      <c r="Z8" s="3020"/>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5" t="s">
        <v>2359</v>
      </c>
      <c r="Q9" s="1887" t="str">
        <f t="shared" ref="Q9:Q14" si="6">B9</f>
        <v>用途</v>
      </c>
      <c r="R9" s="749" t="s">
        <v>25</v>
      </c>
      <c r="S9" s="750">
        <f t="shared" si="0"/>
        <v>100</v>
      </c>
      <c r="T9" s="749" t="s">
        <v>25</v>
      </c>
      <c r="U9" s="750">
        <f t="shared" si="1"/>
        <v>100</v>
      </c>
      <c r="V9" s="749" t="s">
        <v>25</v>
      </c>
      <c r="W9" s="750">
        <f t="shared" si="2"/>
        <v>100</v>
      </c>
      <c r="X9" s="751"/>
      <c r="Y9" s="2831"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380" t="s">
        <v>2363</v>
      </c>
      <c r="B14" s="613" t="s">
        <v>2507</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8" t="s">
        <v>2364</v>
      </c>
      <c r="Q14" s="1899" t="str">
        <f t="shared" si="6"/>
        <v>交通便捷度</v>
      </c>
      <c r="R14" s="753" t="s">
        <v>25</v>
      </c>
      <c r="S14" s="754">
        <f t="shared" si="0"/>
        <v>100</v>
      </c>
      <c r="T14" s="753" t="s">
        <v>25</v>
      </c>
      <c r="U14" s="754">
        <f t="shared" si="1"/>
        <v>100</v>
      </c>
      <c r="V14" s="753" t="s">
        <v>25</v>
      </c>
      <c r="W14" s="754">
        <f t="shared" si="2"/>
        <v>100</v>
      </c>
      <c r="X14" s="1900"/>
      <c r="Y14" s="3008"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9"/>
      <c r="Q15" s="1899"/>
      <c r="R15" s="753"/>
      <c r="S15" s="754"/>
      <c r="T15" s="753"/>
      <c r="U15" s="754"/>
      <c r="V15" s="753"/>
      <c r="W15" s="754"/>
      <c r="X15" s="1900"/>
      <c r="Y15" s="3009"/>
      <c r="Z15" s="1902"/>
      <c r="AA15" s="1903">
        <v>1</v>
      </c>
      <c r="AB15" s="1903">
        <v>1</v>
      </c>
      <c r="AC15" s="1903">
        <v>1</v>
      </c>
    </row>
    <row r="16" spans="1:29" ht="42.75">
      <c r="A16" s="383"/>
      <c r="B16" s="615" t="s">
        <v>2479</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9"/>
      <c r="Q17" s="1899"/>
      <c r="R17" s="753"/>
      <c r="S17" s="754"/>
      <c r="T17" s="753"/>
      <c r="U17" s="754"/>
      <c r="V17" s="753"/>
      <c r="W17" s="754"/>
      <c r="X17" s="1900"/>
      <c r="Y17" s="3009"/>
      <c r="Z17" s="1902"/>
      <c r="AA17" s="1903">
        <v>1</v>
      </c>
      <c r="AB17" s="1903">
        <v>1</v>
      </c>
      <c r="AC17" s="1903">
        <v>1</v>
      </c>
    </row>
    <row r="18" spans="1:29" ht="28.5">
      <c r="A18" s="383"/>
      <c r="B18" s="617" t="s">
        <v>2480</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9"/>
      <c r="Q19" s="1899"/>
      <c r="R19" s="753"/>
      <c r="S19" s="754"/>
      <c r="T19" s="753"/>
      <c r="U19" s="754"/>
      <c r="V19" s="753"/>
      <c r="W19" s="754"/>
      <c r="X19" s="1900"/>
      <c r="Y19" s="3009"/>
      <c r="Z19" s="1902"/>
      <c r="AA19" s="1903">
        <v>1</v>
      </c>
      <c r="AB19" s="1903">
        <v>1</v>
      </c>
      <c r="AC19" s="1903">
        <v>1</v>
      </c>
    </row>
    <row r="20" spans="1:29" ht="57">
      <c r="A20" s="383"/>
      <c r="B20" s="615" t="s">
        <v>2508</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9"/>
      <c r="Q21" s="1899"/>
      <c r="R21" s="753"/>
      <c r="S21" s="754"/>
      <c r="T21" s="753"/>
      <c r="U21" s="754"/>
      <c r="V21" s="753"/>
      <c r="W21" s="754"/>
      <c r="X21" s="1900"/>
      <c r="Y21" s="3009"/>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9"/>
      <c r="Q24" s="1899">
        <f t="shared" ref="Q24:Q36"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635" t="s">
        <v>2368</v>
      </c>
      <c r="B26" s="27" t="s">
        <v>2510</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4"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3"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3"/>
      <c r="Q27" s="755" t="str">
        <f t="shared" si="11"/>
        <v>项目停车位配比</v>
      </c>
      <c r="R27" s="756" t="s">
        <v>25</v>
      </c>
      <c r="S27" s="757">
        <f t="shared" si="12"/>
        <v>100</v>
      </c>
      <c r="T27" s="756" t="s">
        <v>25</v>
      </c>
      <c r="U27" s="757">
        <f t="shared" si="13"/>
        <v>100</v>
      </c>
      <c r="V27" s="756" t="s">
        <v>25</v>
      </c>
      <c r="W27" s="757">
        <f t="shared" si="14"/>
        <v>100</v>
      </c>
      <c r="X27" s="758"/>
      <c r="Y27" s="3013"/>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3"/>
      <c r="Q28" s="1899" t="str">
        <f t="shared" si="11"/>
        <v>公共部分装修</v>
      </c>
      <c r="R28" s="753" t="s">
        <v>25</v>
      </c>
      <c r="S28" s="754">
        <f t="shared" si="12"/>
        <v>100</v>
      </c>
      <c r="T28" s="753" t="s">
        <v>25</v>
      </c>
      <c r="U28" s="754">
        <f t="shared" si="13"/>
        <v>100</v>
      </c>
      <c r="V28" s="753" t="s">
        <v>25</v>
      </c>
      <c r="W28" s="754">
        <f t="shared" si="14"/>
        <v>100</v>
      </c>
      <c r="X28" s="1900"/>
      <c r="Y28" s="3013"/>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3"/>
      <c r="Q29" s="1899" t="str">
        <f t="shared" si="11"/>
        <v>成新率</v>
      </c>
      <c r="R29" s="753" t="s">
        <v>25</v>
      </c>
      <c r="S29" s="754" t="e">
        <f t="shared" si="12"/>
        <v>#N/A</v>
      </c>
      <c r="T29" s="753" t="s">
        <v>25</v>
      </c>
      <c r="U29" s="754" t="e">
        <f t="shared" si="13"/>
        <v>#N/A</v>
      </c>
      <c r="V29" s="753" t="s">
        <v>25</v>
      </c>
      <c r="W29" s="754" t="e">
        <f t="shared" si="14"/>
        <v>#N/A</v>
      </c>
      <c r="X29" s="1900"/>
      <c r="Y29" s="3013"/>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3"/>
      <c r="Q30" s="1899" t="str">
        <f t="shared" si="11"/>
        <v>物业等级</v>
      </c>
      <c r="R30" s="753" t="s">
        <v>25</v>
      </c>
      <c r="S30" s="754">
        <f t="shared" si="12"/>
        <v>100</v>
      </c>
      <c r="T30" s="753" t="s">
        <v>25</v>
      </c>
      <c r="U30" s="754">
        <f t="shared" si="13"/>
        <v>100</v>
      </c>
      <c r="V30" s="753" t="s">
        <v>25</v>
      </c>
      <c r="W30" s="754">
        <f t="shared" si="14"/>
        <v>100</v>
      </c>
      <c r="X30" s="1900"/>
      <c r="Y30" s="3013"/>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3"/>
      <c r="Q31" s="1887" t="str">
        <f t="shared" si="11"/>
        <v>停车位面积</v>
      </c>
      <c r="R31" s="749" t="s">
        <v>25</v>
      </c>
      <c r="S31" s="750" t="e">
        <f t="shared" si="12"/>
        <v>#N/A</v>
      </c>
      <c r="T31" s="749" t="s">
        <v>25</v>
      </c>
      <c r="U31" s="750" t="e">
        <f t="shared" si="13"/>
        <v>#N/A</v>
      </c>
      <c r="V31" s="749" t="s">
        <v>25</v>
      </c>
      <c r="W31" s="750" t="e">
        <f t="shared" si="14"/>
        <v>#N/A</v>
      </c>
      <c r="X31" s="751"/>
      <c r="Y31" s="3013"/>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3" t="s">
        <v>2370</v>
      </c>
      <c r="Q32" s="1899" t="str">
        <f t="shared" si="11"/>
        <v>车位类型</v>
      </c>
      <c r="R32" s="753" t="s">
        <v>25</v>
      </c>
      <c r="S32" s="754">
        <f t="shared" si="12"/>
        <v>100</v>
      </c>
      <c r="T32" s="753" t="s">
        <v>25</v>
      </c>
      <c r="U32" s="754">
        <f t="shared" si="13"/>
        <v>100</v>
      </c>
      <c r="V32" s="753" t="s">
        <v>25</v>
      </c>
      <c r="W32" s="754">
        <f t="shared" si="14"/>
        <v>100</v>
      </c>
      <c r="X32" s="1900"/>
      <c r="Y32" s="3013"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3"/>
      <c r="Q33" s="1899" t="str">
        <f t="shared" si="11"/>
        <v>是否直接入户</v>
      </c>
      <c r="R33" s="753" t="s">
        <v>25</v>
      </c>
      <c r="S33" s="754">
        <f t="shared" si="12"/>
        <v>100</v>
      </c>
      <c r="T33" s="753" t="s">
        <v>25</v>
      </c>
      <c r="U33" s="754">
        <f t="shared" si="13"/>
        <v>100</v>
      </c>
      <c r="V33" s="753" t="s">
        <v>25</v>
      </c>
      <c r="W33" s="754">
        <f t="shared" si="14"/>
        <v>100</v>
      </c>
      <c r="X33" s="1900"/>
      <c r="Y33" s="301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3"/>
      <c r="Q35" s="755">
        <f t="shared" si="11"/>
        <v>111</v>
      </c>
      <c r="R35" s="756" t="s">
        <v>25</v>
      </c>
      <c r="S35" s="757">
        <f t="shared" si="12"/>
        <v>100</v>
      </c>
      <c r="T35" s="756" t="s">
        <v>25</v>
      </c>
      <c r="U35" s="757">
        <f t="shared" si="13"/>
        <v>100</v>
      </c>
      <c r="V35" s="756" t="s">
        <v>25</v>
      </c>
      <c r="W35" s="757">
        <f t="shared" si="14"/>
        <v>100</v>
      </c>
      <c r="X35" s="758"/>
      <c r="Y35" s="301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3"/>
      <c r="Q36" s="1899">
        <f t="shared" si="11"/>
        <v>111</v>
      </c>
      <c r="R36" s="753" t="s">
        <v>25</v>
      </c>
      <c r="S36" s="754">
        <f t="shared" si="12"/>
        <v>100</v>
      </c>
      <c r="T36" s="753" t="s">
        <v>25</v>
      </c>
      <c r="U36" s="754">
        <f t="shared" si="13"/>
        <v>100</v>
      </c>
      <c r="V36" s="753" t="s">
        <v>25</v>
      </c>
      <c r="W36" s="754">
        <f t="shared" si="14"/>
        <v>100</v>
      </c>
      <c r="X36" s="1900"/>
      <c r="Y36" s="3013"/>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05" t="str">
        <f>A37</f>
        <v>成交单价</v>
      </c>
      <c r="Q37" s="3005"/>
      <c r="R37" s="3001">
        <f>E37</f>
        <v>0</v>
      </c>
      <c r="S37" s="3001"/>
      <c r="T37" s="3001">
        <f>G37</f>
        <v>0</v>
      </c>
      <c r="U37" s="3001"/>
      <c r="V37" s="3001">
        <f>I37</f>
        <v>0</v>
      </c>
      <c r="W37" s="3001"/>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5" t="str">
        <f>A38</f>
        <v>比较价值</v>
      </c>
      <c r="Q38" s="3005"/>
      <c r="R38" s="3001" t="e">
        <f>IF(E1="售价",ROUND(PRODUCT(R37,AA7:AA36),0),ROUND(PRODUCT(R37,AA7:AA36),1))</f>
        <v>#DIV/0!</v>
      </c>
      <c r="S38" s="3001"/>
      <c r="T38" s="3001" t="e">
        <f>IF(E1="售价",ROUND(PRODUCT(T37,AB7:AB36),0),ROUND(PRODUCT(T37,AB7:AB36),1))</f>
        <v>#DIV/0!</v>
      </c>
      <c r="U38" s="3001"/>
      <c r="V38" s="3001" t="e">
        <f>IF(E1="售价",ROUND(PRODUCT(V37,AC7:AC36),0),ROUND(PRODUCT(V37,AC7:AC36),1))</f>
        <v>#DIV/0!</v>
      </c>
      <c r="W38" s="3001"/>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02" t="str">
        <f>A39</f>
        <v>估价对象XX用房的比较价值（楼面单价，元/平方米）</v>
      </c>
      <c r="Q39" s="3003"/>
      <c r="R39" s="3004" t="e">
        <f>IF(E1="售价",ROUND(AVERAGE(R38:V38),0),ROUND(AVERAGE(R38:V38),1))</f>
        <v>#DIV/0!</v>
      </c>
      <c r="S39" s="3004"/>
      <c r="T39" s="3004"/>
      <c r="U39" s="3004"/>
      <c r="V39" s="3004"/>
      <c r="W39" s="300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2017-8</v>
      </c>
      <c r="D48" s="1679">
        <f>EDATE(C48,-1)</f>
        <v>42917</v>
      </c>
      <c r="E48" s="1679">
        <f t="shared" ref="E48:O48" si="16">EDATE(D48,-1)</f>
        <v>42887</v>
      </c>
      <c r="F48" s="1679">
        <f t="shared" si="16"/>
        <v>42856</v>
      </c>
      <c r="G48" s="1679">
        <f t="shared" si="16"/>
        <v>42826</v>
      </c>
      <c r="H48" s="1679">
        <f t="shared" si="16"/>
        <v>42795</v>
      </c>
      <c r="I48" s="1679">
        <f t="shared" si="16"/>
        <v>42767</v>
      </c>
      <c r="J48" s="1679">
        <f t="shared" si="16"/>
        <v>42736</v>
      </c>
      <c r="K48" s="1679">
        <f t="shared" si="16"/>
        <v>42705</v>
      </c>
      <c r="L48" s="1679">
        <f t="shared" si="16"/>
        <v>42675</v>
      </c>
      <c r="M48" s="1679">
        <f t="shared" si="16"/>
        <v>42644</v>
      </c>
      <c r="N48" s="1679">
        <f t="shared" si="16"/>
        <v>42614</v>
      </c>
      <c r="O48" s="1679">
        <f t="shared" si="16"/>
        <v>42583</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1"/>
      <c r="C1" s="1729"/>
      <c r="D1" s="1739"/>
      <c r="E1" s="2383"/>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2338</v>
      </c>
      <c r="D3" s="378">
        <f>IF(C1="仅计算典型户型",'数据-取费表'!E5,'数据-取费表'!B5)</f>
        <v>689.57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42961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19" t="s">
        <v>2353</v>
      </c>
      <c r="Q7" s="3027"/>
      <c r="R7" s="749" t="s">
        <v>25</v>
      </c>
      <c r="S7" s="750">
        <f t="shared" ref="S7:S14" si="0">F7</f>
        <v>0</v>
      </c>
      <c r="T7" s="749" t="s">
        <v>25</v>
      </c>
      <c r="U7" s="750">
        <f t="shared" ref="U7:U14" si="1">H7</f>
        <v>0</v>
      </c>
      <c r="V7" s="749" t="s">
        <v>25</v>
      </c>
      <c r="W7" s="750">
        <f t="shared" ref="W7:W14" si="2">J7</f>
        <v>0</v>
      </c>
      <c r="X7" s="751"/>
      <c r="Y7" s="3019" t="s">
        <v>2353</v>
      </c>
      <c r="Z7" s="3020"/>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9" t="s">
        <v>2356</v>
      </c>
      <c r="Q8" s="3020"/>
      <c r="R8" s="749" t="s">
        <v>25</v>
      </c>
      <c r="S8" s="750">
        <f t="shared" si="0"/>
        <v>0</v>
      </c>
      <c r="T8" s="749" t="s">
        <v>25</v>
      </c>
      <c r="U8" s="750">
        <f t="shared" si="1"/>
        <v>0</v>
      </c>
      <c r="V8" s="749" t="s">
        <v>25</v>
      </c>
      <c r="W8" s="750">
        <f t="shared" si="2"/>
        <v>0</v>
      </c>
      <c r="X8" s="751"/>
      <c r="Y8" s="3019" t="s">
        <v>2356</v>
      </c>
      <c r="Z8" s="3020"/>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5" t="s">
        <v>2359</v>
      </c>
      <c r="Q9" s="1887" t="str">
        <f t="shared" ref="Q9:Q14" si="6">B9</f>
        <v>用途</v>
      </c>
      <c r="R9" s="749" t="s">
        <v>25</v>
      </c>
      <c r="S9" s="750">
        <f t="shared" si="0"/>
        <v>100</v>
      </c>
      <c r="T9" s="749" t="s">
        <v>25</v>
      </c>
      <c r="U9" s="750">
        <f t="shared" si="1"/>
        <v>100</v>
      </c>
      <c r="V9" s="749" t="s">
        <v>25</v>
      </c>
      <c r="W9" s="750">
        <f t="shared" si="2"/>
        <v>100</v>
      </c>
      <c r="X9" s="751"/>
      <c r="Y9" s="2831"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419" t="s">
        <v>2363</v>
      </c>
      <c r="B14" s="26" t="s">
        <v>2507</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8" t="s">
        <v>2364</v>
      </c>
      <c r="Q14" s="1899" t="str">
        <f t="shared" si="6"/>
        <v>交通便捷度</v>
      </c>
      <c r="R14" s="753" t="s">
        <v>25</v>
      </c>
      <c r="S14" s="754">
        <f t="shared" si="0"/>
        <v>100</v>
      </c>
      <c r="T14" s="753" t="s">
        <v>25</v>
      </c>
      <c r="U14" s="754">
        <f t="shared" si="1"/>
        <v>100</v>
      </c>
      <c r="V14" s="753" t="s">
        <v>25</v>
      </c>
      <c r="W14" s="754">
        <f t="shared" si="2"/>
        <v>100</v>
      </c>
      <c r="X14" s="1900"/>
      <c r="Y14" s="3008"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9"/>
      <c r="Q15" s="1899"/>
      <c r="R15" s="753"/>
      <c r="S15" s="754"/>
      <c r="T15" s="753"/>
      <c r="U15" s="754"/>
      <c r="V15" s="753"/>
      <c r="W15" s="754"/>
      <c r="X15" s="1900"/>
      <c r="Y15" s="3009"/>
      <c r="Z15" s="1902"/>
      <c r="AA15" s="1903">
        <v>1</v>
      </c>
      <c r="AB15" s="1903">
        <v>1</v>
      </c>
      <c r="AC15" s="1903">
        <v>1</v>
      </c>
    </row>
    <row r="16" spans="1:29" ht="42.75">
      <c r="A16" s="408"/>
      <c r="B16" s="615" t="s">
        <v>2479</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9"/>
      <c r="Q17" s="1899"/>
      <c r="R17" s="753"/>
      <c r="S17" s="754"/>
      <c r="T17" s="753"/>
      <c r="U17" s="754"/>
      <c r="V17" s="753"/>
      <c r="W17" s="754"/>
      <c r="X17" s="1900"/>
      <c r="Y17" s="3009"/>
      <c r="Z17" s="1902"/>
      <c r="AA17" s="1903">
        <v>1</v>
      </c>
      <c r="AB17" s="1903">
        <v>1</v>
      </c>
      <c r="AC17" s="1903">
        <v>1</v>
      </c>
    </row>
    <row r="18" spans="1:29" ht="28.5">
      <c r="A18" s="408"/>
      <c r="B18" s="617" t="s">
        <v>2480</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9"/>
      <c r="Q19" s="1899"/>
      <c r="R19" s="753"/>
      <c r="S19" s="754"/>
      <c r="T19" s="753"/>
      <c r="U19" s="754"/>
      <c r="V19" s="753"/>
      <c r="W19" s="754"/>
      <c r="X19" s="1900"/>
      <c r="Y19" s="3009"/>
      <c r="Z19" s="1902"/>
      <c r="AA19" s="1903">
        <v>1</v>
      </c>
      <c r="AB19" s="1903">
        <v>1</v>
      </c>
      <c r="AC19" s="1903">
        <v>1</v>
      </c>
    </row>
    <row r="20" spans="1:29" ht="57">
      <c r="A20" s="408"/>
      <c r="B20" s="431" t="s">
        <v>2508</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9"/>
      <c r="Q21" s="1899"/>
      <c r="R21" s="753"/>
      <c r="S21" s="754"/>
      <c r="T21" s="753"/>
      <c r="U21" s="754"/>
      <c r="V21" s="753"/>
      <c r="W21" s="754"/>
      <c r="X21" s="1900"/>
      <c r="Y21" s="3009"/>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9"/>
      <c r="Q24" s="1899">
        <f t="shared" ref="Q24:Q34"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447" t="s">
        <v>2368</v>
      </c>
      <c r="B26" s="28" t="s">
        <v>2512</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4"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3"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3"/>
      <c r="Q27" s="755" t="str">
        <f t="shared" si="11"/>
        <v>成新率</v>
      </c>
      <c r="R27" s="756" t="s">
        <v>25</v>
      </c>
      <c r="S27" s="757" t="e">
        <f t="shared" si="12"/>
        <v>#N/A</v>
      </c>
      <c r="T27" s="756" t="s">
        <v>25</v>
      </c>
      <c r="U27" s="757" t="e">
        <f t="shared" si="13"/>
        <v>#N/A</v>
      </c>
      <c r="V27" s="756" t="s">
        <v>25</v>
      </c>
      <c r="W27" s="757" t="e">
        <f t="shared" si="14"/>
        <v>#N/A</v>
      </c>
      <c r="X27" s="758"/>
      <c r="Y27" s="3013"/>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3"/>
      <c r="Q28" s="1899" t="str">
        <f t="shared" si="11"/>
        <v>物业等级</v>
      </c>
      <c r="R28" s="753" t="s">
        <v>25</v>
      </c>
      <c r="S28" s="754">
        <f t="shared" si="12"/>
        <v>100</v>
      </c>
      <c r="T28" s="753" t="s">
        <v>25</v>
      </c>
      <c r="U28" s="754">
        <f t="shared" si="13"/>
        <v>100</v>
      </c>
      <c r="V28" s="753" t="s">
        <v>25</v>
      </c>
      <c r="W28" s="754">
        <f t="shared" si="14"/>
        <v>100</v>
      </c>
      <c r="X28" s="1900"/>
      <c r="Y28" s="3013"/>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3"/>
      <c r="Q29" s="1899" t="str">
        <f t="shared" si="11"/>
        <v>有无电梯</v>
      </c>
      <c r="R29" s="753" t="s">
        <v>25</v>
      </c>
      <c r="S29" s="754">
        <f t="shared" si="12"/>
        <v>100</v>
      </c>
      <c r="T29" s="753" t="s">
        <v>25</v>
      </c>
      <c r="U29" s="754">
        <f t="shared" si="13"/>
        <v>100</v>
      </c>
      <c r="V29" s="753" t="s">
        <v>25</v>
      </c>
      <c r="W29" s="754">
        <f t="shared" si="14"/>
        <v>100</v>
      </c>
      <c r="X29" s="1900"/>
      <c r="Y29" s="3013"/>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3"/>
      <c r="Q30" s="1899" t="str">
        <f t="shared" si="11"/>
        <v>建筑面积</v>
      </c>
      <c r="R30" s="753" t="s">
        <v>25</v>
      </c>
      <c r="S30" s="754" t="e">
        <f t="shared" si="12"/>
        <v>#N/A</v>
      </c>
      <c r="T30" s="753" t="s">
        <v>25</v>
      </c>
      <c r="U30" s="754" t="e">
        <f t="shared" si="13"/>
        <v>#N/A</v>
      </c>
      <c r="V30" s="753" t="s">
        <v>25</v>
      </c>
      <c r="W30" s="754" t="e">
        <f t="shared" si="14"/>
        <v>#N/A</v>
      </c>
      <c r="X30" s="1900"/>
      <c r="Y30" s="3013"/>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3"/>
      <c r="Q31" s="1887" t="str">
        <f t="shared" si="11"/>
        <v>是否封闭</v>
      </c>
      <c r="R31" s="749" t="s">
        <v>25</v>
      </c>
      <c r="S31" s="750">
        <f t="shared" si="12"/>
        <v>100</v>
      </c>
      <c r="T31" s="749" t="s">
        <v>25</v>
      </c>
      <c r="U31" s="750">
        <f t="shared" si="13"/>
        <v>100</v>
      </c>
      <c r="V31" s="749" t="s">
        <v>25</v>
      </c>
      <c r="W31" s="750">
        <f t="shared" si="14"/>
        <v>100</v>
      </c>
      <c r="X31" s="751"/>
      <c r="Y31" s="301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3" t="s">
        <v>2370</v>
      </c>
      <c r="Q32" s="1899">
        <f t="shared" si="11"/>
        <v>111</v>
      </c>
      <c r="R32" s="753" t="s">
        <v>25</v>
      </c>
      <c r="S32" s="754">
        <f t="shared" si="12"/>
        <v>100</v>
      </c>
      <c r="T32" s="753" t="s">
        <v>25</v>
      </c>
      <c r="U32" s="754">
        <f t="shared" si="13"/>
        <v>100</v>
      </c>
      <c r="V32" s="753" t="s">
        <v>25</v>
      </c>
      <c r="W32" s="754">
        <f t="shared" si="14"/>
        <v>100</v>
      </c>
      <c r="X32" s="1900"/>
      <c r="Y32" s="3013" t="s">
        <v>2370</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3"/>
      <c r="Q33" s="1899">
        <f t="shared" si="11"/>
        <v>111</v>
      </c>
      <c r="R33" s="753" t="s">
        <v>25</v>
      </c>
      <c r="S33" s="754">
        <f t="shared" si="12"/>
        <v>100</v>
      </c>
      <c r="T33" s="753" t="s">
        <v>25</v>
      </c>
      <c r="U33" s="754">
        <f t="shared" si="13"/>
        <v>100</v>
      </c>
      <c r="V33" s="753" t="s">
        <v>25</v>
      </c>
      <c r="W33" s="754">
        <f t="shared" si="14"/>
        <v>100</v>
      </c>
      <c r="X33" s="1900"/>
      <c r="Y33" s="301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05" t="str">
        <f>A35</f>
        <v>成交单价（元/平方米）</v>
      </c>
      <c r="Q35" s="3005"/>
      <c r="R35" s="3001">
        <f>E35</f>
        <v>0</v>
      </c>
      <c r="S35" s="3001"/>
      <c r="T35" s="3001">
        <f>G35</f>
        <v>0</v>
      </c>
      <c r="U35" s="3001"/>
      <c r="V35" s="3001">
        <f>I35</f>
        <v>0</v>
      </c>
      <c r="W35" s="3001"/>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05" t="str">
        <f>A36</f>
        <v>比较价值（元/平方米）</v>
      </c>
      <c r="Q36" s="3005"/>
      <c r="R36" s="3001" t="e">
        <f>IF(E1="售价",ROUND(PRODUCT(R35,AA7:AA34),0),ROUND(PRODUCT(R35,AA7:AA34),1))</f>
        <v>#DIV/0!</v>
      </c>
      <c r="S36" s="3001"/>
      <c r="T36" s="3001" t="e">
        <f>IF(E1="售价",ROUND(PRODUCT(T35,AB7:AB34),0),ROUND(PRODUCT(T35,AB7:AB34),1))</f>
        <v>#DIV/0!</v>
      </c>
      <c r="U36" s="3001"/>
      <c r="V36" s="3001" t="e">
        <f>IF(E1="售价",ROUND(PRODUCT(V35,AC7:AC34),0),ROUND(PRODUCT(V35,AC7:AC34),1))</f>
        <v>#DIV/0!</v>
      </c>
      <c r="W36" s="3001"/>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02" t="str">
        <f>A37</f>
        <v>估价对象XX用房的比较价值（楼面单价，元/平方米）</v>
      </c>
      <c r="Q37" s="3003"/>
      <c r="R37" s="3004" t="e">
        <f>IF(E1="售价",ROUND(AVERAGE(R36:V36),0),ROUND(AVERAGE(R36:V36),1))</f>
        <v>#DIV/0!</v>
      </c>
      <c r="S37" s="3004"/>
      <c r="T37" s="3004"/>
      <c r="U37" s="3004"/>
      <c r="V37" s="3004"/>
      <c r="W37" s="300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2017-8</v>
      </c>
      <c r="D46" s="1679">
        <f>EDATE(C46,-1)</f>
        <v>42917</v>
      </c>
      <c r="E46" s="1679">
        <f t="shared" ref="E46:O46" si="16">EDATE(D46,-1)</f>
        <v>42887</v>
      </c>
      <c r="F46" s="1679">
        <f t="shared" si="16"/>
        <v>42856</v>
      </c>
      <c r="G46" s="1679">
        <f t="shared" si="16"/>
        <v>42826</v>
      </c>
      <c r="H46" s="1679">
        <f t="shared" si="16"/>
        <v>42795</v>
      </c>
      <c r="I46" s="1679">
        <f t="shared" si="16"/>
        <v>42767</v>
      </c>
      <c r="J46" s="1679">
        <f t="shared" si="16"/>
        <v>42736</v>
      </c>
      <c r="K46" s="1679">
        <f t="shared" si="16"/>
        <v>42705</v>
      </c>
      <c r="L46" s="1679">
        <f t="shared" si="16"/>
        <v>42675</v>
      </c>
      <c r="M46" s="1679">
        <f t="shared" si="16"/>
        <v>42644</v>
      </c>
      <c r="N46" s="1679">
        <f t="shared" si="16"/>
        <v>42614</v>
      </c>
      <c r="O46" s="1679">
        <f t="shared" si="16"/>
        <v>42583</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30"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30"/>
      <c r="AC5" s="3030"/>
    </row>
    <row r="6" spans="1:30"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31"/>
      <c r="AC6" s="3031"/>
    </row>
    <row r="7" spans="1:30" s="35" customFormat="1" ht="15.75" thickBot="1">
      <c r="A7" s="387" t="s">
        <v>2352</v>
      </c>
      <c r="B7" s="388"/>
      <c r="C7" s="389">
        <f>'数据-取费表'!B2</f>
        <v>42961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19"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9" t="s">
        <v>2356</v>
      </c>
      <c r="Q8" s="3020"/>
      <c r="R8" s="749" t="s">
        <v>25</v>
      </c>
      <c r="S8" s="750">
        <f t="shared" si="0"/>
        <v>0</v>
      </c>
      <c r="T8" s="749" t="s">
        <v>25</v>
      </c>
      <c r="U8" s="750">
        <f t="shared" si="1"/>
        <v>0</v>
      </c>
      <c r="V8" s="749" t="s">
        <v>25</v>
      </c>
      <c r="W8" s="750">
        <f t="shared" si="2"/>
        <v>0</v>
      </c>
      <c r="X8" s="751"/>
      <c r="Y8" s="3019" t="s">
        <v>2356</v>
      </c>
      <c r="Z8" s="3020"/>
      <c r="AA8" s="752" t="e">
        <f t="shared" ref="AA8:AA45" si="3">D8/F8</f>
        <v>#DIV/0!</v>
      </c>
      <c r="AB8" s="752" t="e">
        <f t="shared" ref="AB8:AB45" si="4">D8/H8</f>
        <v>#DIV/0!</v>
      </c>
      <c r="AC8" s="752" t="e">
        <f t="shared" ref="AC8:AC45" si="5">D8/J8</f>
        <v>#DIV/0!</v>
      </c>
    </row>
    <row r="9" spans="1:30" s="35" customFormat="1">
      <c r="A9" s="395" t="s">
        <v>2357</v>
      </c>
      <c r="B9" s="28" t="s">
        <v>2358</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05"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121</v>
      </c>
      <c r="G10" s="444"/>
      <c r="H10" s="52">
        <f>ROUND(100/'数据-取费表'!B14,0)</f>
        <v>121</v>
      </c>
      <c r="I10" s="444"/>
      <c r="J10" s="52">
        <f>ROUND(100/'数据-取费表'!B14,0)</f>
        <v>121</v>
      </c>
      <c r="K10" s="655"/>
      <c r="L10" s="1248"/>
      <c r="M10" s="1249"/>
      <c r="N10" s="1249"/>
      <c r="O10" s="1250"/>
      <c r="P10" s="3005"/>
      <c r="Q10" s="1887" t="str">
        <f t="shared" si="6"/>
        <v>土地使用年限（年）</v>
      </c>
      <c r="R10" s="749" t="s">
        <v>25</v>
      </c>
      <c r="S10" s="750">
        <f t="shared" si="0"/>
        <v>121</v>
      </c>
      <c r="T10" s="749" t="s">
        <v>25</v>
      </c>
      <c r="U10" s="750">
        <f t="shared" si="1"/>
        <v>121</v>
      </c>
      <c r="V10" s="749" t="s">
        <v>25</v>
      </c>
      <c r="W10" s="750">
        <f t="shared" si="2"/>
        <v>121</v>
      </c>
      <c r="X10" s="751"/>
      <c r="Y10" s="2831"/>
      <c r="Z10" s="23" t="str">
        <f t="shared" si="7"/>
        <v>土地使用年限（年）</v>
      </c>
      <c r="AA10" s="752">
        <f t="shared" si="3"/>
        <v>0.82644628099173556</v>
      </c>
      <c r="AB10" s="752">
        <f t="shared" si="4"/>
        <v>0.82644628099173556</v>
      </c>
      <c r="AC10" s="752">
        <f t="shared" si="5"/>
        <v>0.82644628099173556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30" s="35" customFormat="1" ht="15">
      <c r="A12" s="411"/>
      <c r="B12" s="2400"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5"/>
      <c r="Q12" s="1887" t="str">
        <f t="shared" si="6"/>
        <v>配建</v>
      </c>
      <c r="R12" s="749" t="s">
        <v>25</v>
      </c>
      <c r="S12" s="750">
        <f t="shared" si="0"/>
        <v>100</v>
      </c>
      <c r="T12" s="749" t="s">
        <v>25</v>
      </c>
      <c r="U12" s="750">
        <f t="shared" si="1"/>
        <v>100</v>
      </c>
      <c r="V12" s="749" t="s">
        <v>25</v>
      </c>
      <c r="W12" s="750">
        <f t="shared" si="2"/>
        <v>100</v>
      </c>
      <c r="X12" s="751"/>
      <c r="Y12" s="2831"/>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D14/F14</f>
        <v>1</v>
      </c>
      <c r="AB14" s="752">
        <f>D14/H14</f>
        <v>1</v>
      </c>
      <c r="AC14" s="752">
        <f>D14/J14</f>
        <v>1</v>
      </c>
    </row>
    <row r="15" spans="1:30" ht="99.75">
      <c r="A15" s="380" t="s">
        <v>2363</v>
      </c>
      <c r="B15" s="1487" t="s">
        <v>1737</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8" t="s">
        <v>2364</v>
      </c>
      <c r="Q15" s="1899" t="str">
        <f t="shared" si="6"/>
        <v>居住社区成熟度</v>
      </c>
      <c r="R15" s="753" t="s">
        <v>25</v>
      </c>
      <c r="S15" s="754">
        <f t="shared" si="0"/>
        <v>100</v>
      </c>
      <c r="T15" s="753" t="s">
        <v>25</v>
      </c>
      <c r="U15" s="754">
        <f t="shared" si="1"/>
        <v>100</v>
      </c>
      <c r="V15" s="753" t="s">
        <v>25</v>
      </c>
      <c r="W15" s="754">
        <f t="shared" si="2"/>
        <v>100</v>
      </c>
      <c r="X15" s="1900"/>
      <c r="Y15" s="3008"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71.25">
      <c r="A17" s="383"/>
      <c r="B17" s="1489" t="s">
        <v>2449</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9"/>
      <c r="Q17" s="1899" t="str">
        <f>B17</f>
        <v>商业繁华度</v>
      </c>
      <c r="R17" s="753" t="s">
        <v>25</v>
      </c>
      <c r="S17" s="754">
        <f>F17</f>
        <v>100</v>
      </c>
      <c r="T17" s="753" t="s">
        <v>25</v>
      </c>
      <c r="U17" s="754">
        <f>H17</f>
        <v>100</v>
      </c>
      <c r="V17" s="753" t="s">
        <v>25</v>
      </c>
      <c r="W17" s="754">
        <f>J17</f>
        <v>100</v>
      </c>
      <c r="X17" s="1900"/>
      <c r="Y17" s="300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71.25">
      <c r="A19" s="383"/>
      <c r="B19" s="1489" t="s">
        <v>2478</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9"/>
      <c r="Q19" s="1899" t="str">
        <f>B19</f>
        <v>办公集聚程度</v>
      </c>
      <c r="R19" s="753" t="s">
        <v>25</v>
      </c>
      <c r="S19" s="754">
        <f>F19</f>
        <v>100</v>
      </c>
      <c r="T19" s="753" t="s">
        <v>25</v>
      </c>
      <c r="U19" s="754">
        <f>H19</f>
        <v>100</v>
      </c>
      <c r="V19" s="753" t="s">
        <v>25</v>
      </c>
      <c r="W19" s="754">
        <f>J19</f>
        <v>100</v>
      </c>
      <c r="X19" s="1900"/>
      <c r="Y19" s="300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09"/>
      <c r="Q20" s="1899"/>
      <c r="R20" s="753"/>
      <c r="S20" s="754"/>
      <c r="T20" s="753"/>
      <c r="U20" s="754"/>
      <c r="V20" s="753"/>
      <c r="W20" s="754"/>
      <c r="X20" s="1900"/>
      <c r="Y20" s="3009"/>
      <c r="Z20" s="1902"/>
      <c r="AA20" s="1903">
        <v>1</v>
      </c>
      <c r="AB20" s="1903">
        <v>1</v>
      </c>
      <c r="AC20" s="1903">
        <v>1</v>
      </c>
    </row>
    <row r="21" spans="1:29" ht="85.5">
      <c r="A21" s="383"/>
      <c r="B21" s="1489" t="s">
        <v>2507</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9"/>
      <c r="Q21" s="1899" t="str">
        <f>B21</f>
        <v>交通便捷度</v>
      </c>
      <c r="R21" s="753" t="s">
        <v>25</v>
      </c>
      <c r="S21" s="754">
        <f>F21</f>
        <v>100</v>
      </c>
      <c r="T21" s="753" t="s">
        <v>25</v>
      </c>
      <c r="U21" s="754">
        <f>H21</f>
        <v>100</v>
      </c>
      <c r="V21" s="753" t="s">
        <v>25</v>
      </c>
      <c r="W21" s="754">
        <f>J21</f>
        <v>100</v>
      </c>
      <c r="X21" s="1900"/>
      <c r="Y21" s="300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ht="15">
      <c r="A23" s="383"/>
      <c r="B23" s="1492" t="s">
        <v>2547</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9"/>
      <c r="Q23" s="1899" t="str">
        <f t="shared" ref="Q23:Q37" si="8">B23</f>
        <v>区域土地利用方向</v>
      </c>
      <c r="R23" s="753" t="s">
        <v>25</v>
      </c>
      <c r="S23" s="754">
        <f>F23</f>
        <v>100</v>
      </c>
      <c r="T23" s="753" t="s">
        <v>25</v>
      </c>
      <c r="U23" s="754">
        <f>H23</f>
        <v>100</v>
      </c>
      <c r="V23" s="753" t="s">
        <v>25</v>
      </c>
      <c r="W23" s="754">
        <f>J23</f>
        <v>100</v>
      </c>
      <c r="X23" s="1900"/>
      <c r="Y23" s="300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09"/>
      <c r="Q24" s="1899"/>
      <c r="R24" s="753"/>
      <c r="S24" s="754"/>
      <c r="T24" s="753"/>
      <c r="U24" s="754"/>
      <c r="V24" s="753"/>
      <c r="W24" s="754"/>
      <c r="X24" s="1900"/>
      <c r="Y24" s="3009"/>
      <c r="Z24" s="1902"/>
      <c r="AA24" s="1903"/>
      <c r="AB24" s="1903"/>
      <c r="AC24" s="1903"/>
    </row>
    <row r="25" spans="1:29" ht="57">
      <c r="A25" s="383"/>
      <c r="B25" s="1491" t="s">
        <v>2548</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9"/>
      <c r="Q25" s="1899" t="str">
        <f t="shared" si="8"/>
        <v>自然及人文环境状况</v>
      </c>
      <c r="R25" s="753" t="s">
        <v>25</v>
      </c>
      <c r="S25" s="754">
        <f>F25</f>
        <v>100</v>
      </c>
      <c r="T25" s="753" t="s">
        <v>25</v>
      </c>
      <c r="U25" s="754">
        <f>H25</f>
        <v>100</v>
      </c>
      <c r="V25" s="753" t="s">
        <v>25</v>
      </c>
      <c r="W25" s="754">
        <f>J25</f>
        <v>100</v>
      </c>
      <c r="X25" s="1900"/>
      <c r="Y25" s="300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9"/>
      <c r="Q26" s="1899"/>
      <c r="R26" s="753"/>
      <c r="S26" s="754"/>
      <c r="T26" s="753"/>
      <c r="U26" s="754"/>
      <c r="V26" s="753"/>
      <c r="W26" s="754"/>
      <c r="X26" s="1900"/>
      <c r="Y26" s="3009"/>
      <c r="Z26" s="1902"/>
      <c r="AA26" s="1903">
        <v>1</v>
      </c>
      <c r="AB26" s="1903">
        <v>1</v>
      </c>
      <c r="AC26" s="1903">
        <v>1</v>
      </c>
    </row>
    <row r="27" spans="1:29" ht="42.75">
      <c r="A27" s="383"/>
      <c r="B27" s="1491" t="s">
        <v>2450</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9"/>
      <c r="Q27" s="1887" t="str">
        <f t="shared" ref="Q27" si="9">B27</f>
        <v>公共配套设施</v>
      </c>
      <c r="R27" s="749" t="s">
        <v>25</v>
      </c>
      <c r="S27" s="750">
        <f>F27</f>
        <v>100</v>
      </c>
      <c r="T27" s="749" t="s">
        <v>25</v>
      </c>
      <c r="U27" s="750">
        <f>H27</f>
        <v>100</v>
      </c>
      <c r="V27" s="749" t="s">
        <v>25</v>
      </c>
      <c r="W27" s="750">
        <f>J27</f>
        <v>100</v>
      </c>
      <c r="X27" s="1900"/>
      <c r="Y27" s="300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09"/>
      <c r="Q28" s="1899"/>
      <c r="R28" s="753"/>
      <c r="S28" s="754"/>
      <c r="T28" s="753"/>
      <c r="U28" s="754"/>
      <c r="V28" s="753"/>
      <c r="W28" s="754"/>
      <c r="X28" s="1900"/>
      <c r="Y28" s="3009"/>
      <c r="Z28" s="23"/>
      <c r="AA28" s="1903">
        <v>1</v>
      </c>
      <c r="AB28" s="1903">
        <v>1</v>
      </c>
      <c r="AC28" s="1903">
        <v>1</v>
      </c>
    </row>
    <row r="29" spans="1:29" s="35" customFormat="1" ht="28.5">
      <c r="A29" s="633"/>
      <c r="B29" s="1491" t="s">
        <v>2451</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9"/>
      <c r="Q29" s="1887" t="str">
        <f t="shared" si="8"/>
        <v>基础设施水平</v>
      </c>
      <c r="R29" s="749" t="s">
        <v>25</v>
      </c>
      <c r="S29" s="750">
        <f>F29</f>
        <v>100</v>
      </c>
      <c r="T29" s="749" t="s">
        <v>25</v>
      </c>
      <c r="U29" s="750">
        <f>H29</f>
        <v>100</v>
      </c>
      <c r="V29" s="749" t="s">
        <v>25</v>
      </c>
      <c r="W29" s="750">
        <f>J29</f>
        <v>100</v>
      </c>
      <c r="X29" s="751"/>
      <c r="Y29" s="300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09"/>
      <c r="Q30" s="1887"/>
      <c r="R30" s="749"/>
      <c r="S30" s="750"/>
      <c r="T30" s="749"/>
      <c r="U30" s="750"/>
      <c r="V30" s="749"/>
      <c r="W30" s="750"/>
      <c r="X30" s="751"/>
      <c r="Y30" s="3009"/>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9"/>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9"/>
      <c r="Q32" s="1899" t="str">
        <f t="shared" si="8"/>
        <v>毗邻道路的类型与等级</v>
      </c>
      <c r="R32" s="753" t="s">
        <v>25</v>
      </c>
      <c r="S32" s="754">
        <f t="shared" si="10"/>
        <v>100</v>
      </c>
      <c r="T32" s="753" t="s">
        <v>25</v>
      </c>
      <c r="U32" s="754">
        <f t="shared" si="11"/>
        <v>100</v>
      </c>
      <c r="V32" s="753" t="s">
        <v>25</v>
      </c>
      <c r="W32" s="754">
        <f t="shared" si="12"/>
        <v>100</v>
      </c>
      <c r="X32" s="1900"/>
      <c r="Y32" s="300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9"/>
      <c r="Q33" s="1899"/>
      <c r="R33" s="753"/>
      <c r="S33" s="754"/>
      <c r="T33" s="753"/>
      <c r="U33" s="754"/>
      <c r="V33" s="753"/>
      <c r="W33" s="754"/>
      <c r="X33" s="1900"/>
      <c r="Y33" s="3009"/>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9"/>
      <c r="Q34" s="1899" t="str">
        <f t="shared" si="8"/>
        <v>土地级别</v>
      </c>
      <c r="R34" s="753" t="s">
        <v>25</v>
      </c>
      <c r="S34" s="754">
        <f t="shared" si="10"/>
        <v>100</v>
      </c>
      <c r="T34" s="753" t="s">
        <v>25</v>
      </c>
      <c r="U34" s="754">
        <f t="shared" si="11"/>
        <v>100</v>
      </c>
      <c r="V34" s="753" t="s">
        <v>25</v>
      </c>
      <c r="W34" s="754">
        <f t="shared" si="12"/>
        <v>100</v>
      </c>
      <c r="X34" s="1900"/>
      <c r="Y34" s="300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9"/>
      <c r="Q35" s="1899">
        <f t="shared" si="8"/>
        <v>111</v>
      </c>
      <c r="R35" s="753" t="s">
        <v>25</v>
      </c>
      <c r="S35" s="754">
        <f t="shared" si="10"/>
        <v>100</v>
      </c>
      <c r="T35" s="753" t="s">
        <v>25</v>
      </c>
      <c r="U35" s="754">
        <f t="shared" si="11"/>
        <v>100</v>
      </c>
      <c r="V35" s="753" t="s">
        <v>25</v>
      </c>
      <c r="W35" s="754">
        <f t="shared" si="12"/>
        <v>100</v>
      </c>
      <c r="X35" s="1900"/>
      <c r="Y35" s="300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4" t="s">
        <v>2370</v>
      </c>
      <c r="Q36" s="1899">
        <f t="shared" si="8"/>
        <v>111</v>
      </c>
      <c r="R36" s="753" t="s">
        <v>25</v>
      </c>
      <c r="S36" s="754">
        <f t="shared" si="10"/>
        <v>100</v>
      </c>
      <c r="T36" s="753" t="s">
        <v>25</v>
      </c>
      <c r="U36" s="754">
        <f t="shared" si="11"/>
        <v>100</v>
      </c>
      <c r="V36" s="753" t="s">
        <v>25</v>
      </c>
      <c r="W36" s="754">
        <f t="shared" si="12"/>
        <v>100</v>
      </c>
      <c r="X36" s="1900"/>
      <c r="Y36" s="3013"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3"/>
      <c r="Q37" s="1899">
        <f t="shared" si="8"/>
        <v>111</v>
      </c>
      <c r="R37" s="756" t="s">
        <v>25</v>
      </c>
      <c r="S37" s="757">
        <f t="shared" si="10"/>
        <v>100</v>
      </c>
      <c r="T37" s="756" t="s">
        <v>25</v>
      </c>
      <c r="U37" s="757">
        <f t="shared" si="11"/>
        <v>100</v>
      </c>
      <c r="V37" s="756" t="s">
        <v>25</v>
      </c>
      <c r="W37" s="757">
        <f t="shared" si="12"/>
        <v>100</v>
      </c>
      <c r="X37" s="758"/>
      <c r="Y37" s="3013"/>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3"/>
      <c r="Q38" s="1899" t="str">
        <f>B38</f>
        <v>宗地面积</v>
      </c>
      <c r="R38" s="753" t="s">
        <v>25</v>
      </c>
      <c r="S38" s="754" t="e">
        <f t="shared" si="10"/>
        <v>#N/A</v>
      </c>
      <c r="T38" s="753" t="s">
        <v>25</v>
      </c>
      <c r="U38" s="754" t="e">
        <f t="shared" si="11"/>
        <v>#N/A</v>
      </c>
      <c r="V38" s="753" t="s">
        <v>25</v>
      </c>
      <c r="W38" s="754" t="e">
        <f t="shared" si="12"/>
        <v>#N/A</v>
      </c>
      <c r="X38" s="1900"/>
      <c r="Y38" s="3013"/>
      <c r="Z38" s="1902" t="str">
        <f t="shared" si="13"/>
        <v>宗地面积</v>
      </c>
      <c r="AA38" s="1903" t="e">
        <f t="shared" si="3"/>
        <v>#N/A</v>
      </c>
      <c r="AB38" s="1903" t="e">
        <f t="shared" si="4"/>
        <v>#N/A</v>
      </c>
      <c r="AC38" s="1903" t="e">
        <f t="shared" si="5"/>
        <v>#N/A</v>
      </c>
    </row>
    <row r="39" spans="1:29" ht="15">
      <c r="A39" s="453"/>
      <c r="B39" s="402" t="s">
        <v>2551</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13"/>
      <c r="Q39" s="1899" t="str">
        <f t="shared" ref="Q39:Q45" si="14">B39</f>
        <v>宗地形状</v>
      </c>
      <c r="R39" s="753" t="s">
        <v>25</v>
      </c>
      <c r="S39" s="754">
        <f t="shared" si="10"/>
        <v>100</v>
      </c>
      <c r="T39" s="753" t="s">
        <v>25</v>
      </c>
      <c r="U39" s="754">
        <f t="shared" si="11"/>
        <v>100</v>
      </c>
      <c r="V39" s="753" t="s">
        <v>25</v>
      </c>
      <c r="W39" s="754">
        <f t="shared" si="12"/>
        <v>100</v>
      </c>
      <c r="X39" s="1900"/>
      <c r="Y39" s="3013"/>
      <c r="Z39" s="1902" t="str">
        <f t="shared" si="13"/>
        <v>宗地形状</v>
      </c>
      <c r="AA39" s="1903">
        <f t="shared" si="3"/>
        <v>1</v>
      </c>
      <c r="AB39" s="1903">
        <f t="shared" si="4"/>
        <v>1</v>
      </c>
      <c r="AC39" s="1903">
        <f t="shared" si="5"/>
        <v>1</v>
      </c>
    </row>
    <row r="40" spans="1:29" ht="15">
      <c r="A40" s="453"/>
      <c r="B40" s="402" t="s">
        <v>2552</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13"/>
      <c r="Q40" s="1899" t="str">
        <f t="shared" si="14"/>
        <v>临街宽度及深度</v>
      </c>
      <c r="R40" s="753" t="s">
        <v>25</v>
      </c>
      <c r="S40" s="754">
        <f t="shared" si="10"/>
        <v>100</v>
      </c>
      <c r="T40" s="753" t="s">
        <v>25</v>
      </c>
      <c r="U40" s="754">
        <f t="shared" si="11"/>
        <v>100</v>
      </c>
      <c r="V40" s="753" t="s">
        <v>25</v>
      </c>
      <c r="W40" s="754">
        <f t="shared" si="12"/>
        <v>100</v>
      </c>
      <c r="X40" s="1900"/>
      <c r="Y40" s="3013"/>
      <c r="Z40" s="1902" t="str">
        <f t="shared" si="13"/>
        <v>临街宽度及深度</v>
      </c>
      <c r="AA40" s="1903">
        <f t="shared" si="3"/>
        <v>1</v>
      </c>
      <c r="AB40" s="1903">
        <f t="shared" si="4"/>
        <v>1</v>
      </c>
      <c r="AC40" s="1903">
        <f t="shared" si="5"/>
        <v>1</v>
      </c>
    </row>
    <row r="41" spans="1:29" s="35" customFormat="1" ht="15">
      <c r="A41" s="454"/>
      <c r="B41" s="402" t="s">
        <v>2553</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13"/>
      <c r="Q41" s="1899" t="str">
        <f t="shared" si="14"/>
        <v>宗地开发程度</v>
      </c>
      <c r="R41" s="749" t="s">
        <v>25</v>
      </c>
      <c r="S41" s="750">
        <f t="shared" si="10"/>
        <v>100</v>
      </c>
      <c r="T41" s="749" t="s">
        <v>25</v>
      </c>
      <c r="U41" s="750">
        <f t="shared" si="11"/>
        <v>100</v>
      </c>
      <c r="V41" s="749" t="s">
        <v>25</v>
      </c>
      <c r="W41" s="750">
        <f t="shared" si="12"/>
        <v>100</v>
      </c>
      <c r="X41" s="751"/>
      <c r="Y41" s="3013"/>
      <c r="Z41" s="23" t="str">
        <f t="shared" si="13"/>
        <v>宗地开发程度</v>
      </c>
      <c r="AA41" s="752">
        <f t="shared" si="3"/>
        <v>1</v>
      </c>
      <c r="AB41" s="752">
        <f t="shared" si="4"/>
        <v>1</v>
      </c>
      <c r="AC41" s="752">
        <f t="shared" si="5"/>
        <v>1</v>
      </c>
    </row>
    <row r="42" spans="1:29" ht="15">
      <c r="A42" s="453"/>
      <c r="B42" s="402" t="s">
        <v>2554</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13" t="s">
        <v>2370</v>
      </c>
      <c r="Q42" s="1899" t="str">
        <f t="shared" si="14"/>
        <v>工程地质条件</v>
      </c>
      <c r="R42" s="753" t="s">
        <v>25</v>
      </c>
      <c r="S42" s="754">
        <f t="shared" si="10"/>
        <v>100</v>
      </c>
      <c r="T42" s="753" t="s">
        <v>25</v>
      </c>
      <c r="U42" s="754">
        <f t="shared" si="11"/>
        <v>100</v>
      </c>
      <c r="V42" s="753" t="s">
        <v>25</v>
      </c>
      <c r="W42" s="754">
        <f t="shared" si="12"/>
        <v>100</v>
      </c>
      <c r="X42" s="1900"/>
      <c r="Y42" s="3013" t="s">
        <v>2370</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3"/>
      <c r="Q43" s="1899">
        <f t="shared" si="14"/>
        <v>111</v>
      </c>
      <c r="R43" s="753" t="s">
        <v>25</v>
      </c>
      <c r="S43" s="754">
        <f t="shared" si="10"/>
        <v>100</v>
      </c>
      <c r="T43" s="753" t="s">
        <v>25</v>
      </c>
      <c r="U43" s="754">
        <f t="shared" si="11"/>
        <v>100</v>
      </c>
      <c r="V43" s="753" t="s">
        <v>25</v>
      </c>
      <c r="W43" s="754">
        <f t="shared" si="12"/>
        <v>100</v>
      </c>
      <c r="X43" s="1900"/>
      <c r="Y43" s="301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3"/>
      <c r="Q44" s="1899">
        <f t="shared" si="14"/>
        <v>111</v>
      </c>
      <c r="R44" s="753" t="s">
        <v>25</v>
      </c>
      <c r="S44" s="754">
        <f t="shared" si="10"/>
        <v>100</v>
      </c>
      <c r="T44" s="753" t="s">
        <v>25</v>
      </c>
      <c r="U44" s="754">
        <f t="shared" si="11"/>
        <v>100</v>
      </c>
      <c r="V44" s="753" t="s">
        <v>25</v>
      </c>
      <c r="W44" s="754">
        <f t="shared" si="12"/>
        <v>100</v>
      </c>
      <c r="X44" s="1900"/>
      <c r="Y44" s="301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3"/>
      <c r="Q45" s="1899">
        <f t="shared" si="14"/>
        <v>111</v>
      </c>
      <c r="R45" s="756" t="s">
        <v>25</v>
      </c>
      <c r="S45" s="757">
        <f t="shared" si="10"/>
        <v>100</v>
      </c>
      <c r="T45" s="756" t="s">
        <v>25</v>
      </c>
      <c r="U45" s="757">
        <f t="shared" si="11"/>
        <v>100</v>
      </c>
      <c r="V45" s="756" t="s">
        <v>25</v>
      </c>
      <c r="W45" s="757">
        <f t="shared" si="12"/>
        <v>100</v>
      </c>
      <c r="X45" s="758"/>
      <c r="Y45" s="3013"/>
      <c r="Z45" s="759">
        <f t="shared" si="13"/>
        <v>111</v>
      </c>
      <c r="AA45" s="1903">
        <f t="shared" si="3"/>
        <v>1</v>
      </c>
      <c r="AB45" s="1903">
        <f t="shared" si="4"/>
        <v>1</v>
      </c>
      <c r="AC45" s="1903">
        <f t="shared" si="5"/>
        <v>1</v>
      </c>
    </row>
    <row r="46" spans="1:29" ht="15">
      <c r="A46" s="460" t="s">
        <v>2518</v>
      </c>
      <c r="B46" s="2493" t="s">
        <v>2555</v>
      </c>
      <c r="C46" s="665" t="s">
        <v>1</v>
      </c>
      <c r="D46" s="462"/>
      <c r="E46" s="463"/>
      <c r="F46" s="464"/>
      <c r="G46" s="465"/>
      <c r="H46" s="466"/>
      <c r="I46" s="463"/>
      <c r="J46" s="466"/>
      <c r="K46" s="762"/>
      <c r="L46" s="1256"/>
      <c r="M46" s="1257"/>
      <c r="N46" s="1244"/>
      <c r="O46" s="1257"/>
      <c r="P46" s="3005" t="str">
        <f>A46</f>
        <v>成交单价</v>
      </c>
      <c r="Q46" s="3005"/>
      <c r="R46" s="3042">
        <f>E46</f>
        <v>0</v>
      </c>
      <c r="S46" s="3042"/>
      <c r="T46" s="3042">
        <f>G46</f>
        <v>0</v>
      </c>
      <c r="U46" s="3042"/>
      <c r="V46" s="3042">
        <f>I46</f>
        <v>0</v>
      </c>
      <c r="W46" s="3042"/>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05" t="str">
        <f>A47</f>
        <v>比较价值（元/平方米）</v>
      </c>
      <c r="Q47" s="3005"/>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02" t="str">
        <f>A48</f>
        <v>估价对象XX用房的比较价值（楼面单价，元/平方米）</v>
      </c>
      <c r="Q48" s="3003"/>
      <c r="R48" s="3056" t="e">
        <f>ROUND(AVERAGE(R47:V47),0)</f>
        <v>#DIV/0!</v>
      </c>
      <c r="S48" s="3056"/>
      <c r="T48" s="3056"/>
      <c r="U48" s="3056"/>
      <c r="V48" s="3056"/>
      <c r="W48" s="305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4" t="s">
        <v>2558</v>
      </c>
      <c r="D55" s="2495" t="s">
        <v>2559</v>
      </c>
      <c r="E55" s="669" t="s">
        <v>2560</v>
      </c>
      <c r="F55" s="670" t="s">
        <v>2561</v>
      </c>
      <c r="G55" s="62" t="s">
        <v>2562</v>
      </c>
      <c r="H55" s="62">
        <f>项目基本情况!G8</f>
        <v>0</v>
      </c>
      <c r="I55" s="2496"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2017-8-1</v>
      </c>
      <c r="D68" s="1670">
        <f>EDATE(C68,-3)</f>
        <v>42856</v>
      </c>
      <c r="E68" s="1670">
        <f t="shared" ref="E68:O68" si="18">EDATE(D68,-3)</f>
        <v>42767</v>
      </c>
      <c r="F68" s="1670">
        <f t="shared" si="18"/>
        <v>42675</v>
      </c>
      <c r="G68" s="1670">
        <f t="shared" si="18"/>
        <v>42583</v>
      </c>
      <c r="H68" s="1670">
        <f t="shared" si="18"/>
        <v>42491</v>
      </c>
      <c r="I68" s="1670">
        <f t="shared" si="18"/>
        <v>42401</v>
      </c>
      <c r="J68" s="1670">
        <f t="shared" si="18"/>
        <v>42309</v>
      </c>
      <c r="K68" s="1670">
        <f t="shared" si="18"/>
        <v>42217</v>
      </c>
      <c r="L68" s="1670">
        <f t="shared" si="18"/>
        <v>42125</v>
      </c>
      <c r="M68" s="1670">
        <f t="shared" si="18"/>
        <v>42036</v>
      </c>
      <c r="N68" s="1670">
        <f t="shared" si="18"/>
        <v>41944</v>
      </c>
      <c r="O68" s="1670">
        <f t="shared" si="18"/>
        <v>41852</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7" t="s">
        <v>2575</v>
      </c>
      <c r="B70" s="1456"/>
      <c r="C70" s="1671" t="str">
        <f>YEAR(C68)&amp;"-"&amp;ROUNDUP(MONTH(C68)/3,0)</f>
        <v>2017-3</v>
      </c>
      <c r="D70" s="1671" t="str">
        <f>YEAR(D68)&amp;"-"&amp;ROUNDUP(MONTH(D68)/3,0)</f>
        <v>2017-2</v>
      </c>
      <c r="E70" s="1671" t="str">
        <f t="shared" ref="E70:O70" si="19">YEAR(E68)&amp;"-"&amp;ROUNDUP(MONTH(E68)/3,0)</f>
        <v>2017-1</v>
      </c>
      <c r="F70" s="1671" t="str">
        <f t="shared" si="19"/>
        <v>2016-4</v>
      </c>
      <c r="G70" s="1671" t="str">
        <f t="shared" si="19"/>
        <v>2016-3</v>
      </c>
      <c r="H70" s="1671" t="str">
        <f t="shared" si="19"/>
        <v>2016-2</v>
      </c>
      <c r="I70" s="1671" t="str">
        <f t="shared" si="19"/>
        <v>2016-1</v>
      </c>
      <c r="J70" s="1671" t="str">
        <f t="shared" si="19"/>
        <v>2015-4</v>
      </c>
      <c r="K70" s="1671" t="str">
        <f t="shared" si="19"/>
        <v>2015-3</v>
      </c>
      <c r="L70" s="1671" t="str">
        <f t="shared" si="19"/>
        <v>2015-2</v>
      </c>
      <c r="M70" s="1671" t="str">
        <f t="shared" si="19"/>
        <v>2015-1</v>
      </c>
      <c r="N70" s="1671" t="str">
        <f t="shared" si="19"/>
        <v>2014-4</v>
      </c>
      <c r="O70" s="1671" t="str">
        <f t="shared" si="19"/>
        <v>2014-3</v>
      </c>
      <c r="P70" s="1673"/>
    </row>
    <row r="71" spans="1:17" s="35" customFormat="1" ht="29.25" customHeight="1">
      <c r="A71" s="2498" t="s">
        <v>2576</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2" t="s">
        <v>2340</v>
      </c>
      <c r="D4" s="3033"/>
      <c r="E4" s="3034" t="s">
        <v>2341</v>
      </c>
      <c r="F4" s="3035"/>
      <c r="G4" s="3032" t="s">
        <v>2342</v>
      </c>
      <c r="H4" s="3033"/>
      <c r="I4" s="3032" t="s">
        <v>2343</v>
      </c>
      <c r="J4" s="3033"/>
      <c r="K4" s="594" t="s">
        <v>2344</v>
      </c>
      <c r="L4" s="1243"/>
      <c r="M4" s="1244"/>
      <c r="N4" s="1244"/>
      <c r="O4" s="1244"/>
      <c r="P4" s="3036" t="s">
        <v>2345</v>
      </c>
      <c r="Q4" s="3037"/>
      <c r="R4" s="3021" t="s">
        <v>2341</v>
      </c>
      <c r="S4" s="3022"/>
      <c r="T4" s="3021" t="s">
        <v>2342</v>
      </c>
      <c r="U4" s="3022"/>
      <c r="V4" s="3042" t="s">
        <v>2343</v>
      </c>
      <c r="W4" s="3042"/>
      <c r="X4" s="1900"/>
      <c r="Y4" s="3021" t="s">
        <v>2345</v>
      </c>
      <c r="Z4" s="3022"/>
      <c r="AA4" s="3029" t="s">
        <v>2341</v>
      </c>
      <c r="AB4" s="3030" t="s">
        <v>2342</v>
      </c>
      <c r="AC4" s="3029" t="s">
        <v>2343</v>
      </c>
    </row>
    <row r="5" spans="1:29" ht="15">
      <c r="A5" s="383"/>
      <c r="B5" s="384"/>
      <c r="C5" s="3017" t="s">
        <v>2346</v>
      </c>
      <c r="D5" s="3018"/>
      <c r="E5" s="3043" t="s">
        <v>2347</v>
      </c>
      <c r="F5" s="3044"/>
      <c r="G5" s="3017" t="s">
        <v>2348</v>
      </c>
      <c r="H5" s="3018"/>
      <c r="I5" s="3017" t="s">
        <v>2349</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2350</v>
      </c>
      <c r="D6" s="3016"/>
      <c r="E6" s="3045" t="s">
        <v>2350</v>
      </c>
      <c r="F6" s="3046"/>
      <c r="G6" s="3015" t="s">
        <v>2350</v>
      </c>
      <c r="H6" s="3016"/>
      <c r="I6" s="3015" t="s">
        <v>2350</v>
      </c>
      <c r="J6" s="3016"/>
      <c r="K6" s="594" t="s">
        <v>2351</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2352</v>
      </c>
      <c r="B7" s="388"/>
      <c r="C7" s="389">
        <f>'数据-取费表'!B2</f>
        <v>42961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19" t="s">
        <v>2353</v>
      </c>
      <c r="Q7" s="3027"/>
      <c r="R7" s="749" t="s">
        <v>25</v>
      </c>
      <c r="S7" s="750">
        <f t="shared" ref="S7:S15" si="0">F7</f>
        <v>0</v>
      </c>
      <c r="T7" s="749" t="s">
        <v>25</v>
      </c>
      <c r="U7" s="750">
        <f t="shared" ref="U7:U15" si="1">H7</f>
        <v>0</v>
      </c>
      <c r="V7" s="749" t="s">
        <v>25</v>
      </c>
      <c r="W7" s="750">
        <f t="shared" ref="W7:W15" si="2">J7</f>
        <v>0</v>
      </c>
      <c r="X7" s="751"/>
      <c r="Y7" s="3019" t="s">
        <v>2353</v>
      </c>
      <c r="Z7" s="3020"/>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9" t="s">
        <v>2356</v>
      </c>
      <c r="Q8" s="3020"/>
      <c r="R8" s="749" t="s">
        <v>25</v>
      </c>
      <c r="S8" s="750">
        <f t="shared" si="0"/>
        <v>0</v>
      </c>
      <c r="T8" s="749" t="s">
        <v>25</v>
      </c>
      <c r="U8" s="750">
        <f t="shared" si="1"/>
        <v>0</v>
      </c>
      <c r="V8" s="749" t="s">
        <v>25</v>
      </c>
      <c r="W8" s="750">
        <f t="shared" si="2"/>
        <v>0</v>
      </c>
      <c r="X8" s="751"/>
      <c r="Y8" s="3019" t="s">
        <v>2356</v>
      </c>
      <c r="Z8" s="3020"/>
      <c r="AA8" s="752" t="e">
        <f t="shared" ref="AA8:AA40" si="3">D8/F8</f>
        <v>#DIV/0!</v>
      </c>
      <c r="AB8" s="752" t="e">
        <f t="shared" ref="AB8:AB40" si="4">D8/H8</f>
        <v>#DIV/0!</v>
      </c>
      <c r="AC8" s="752" t="e">
        <f t="shared" ref="AC8:AC40" si="5">D8/J8</f>
        <v>#DIV/0!</v>
      </c>
    </row>
    <row r="9" spans="1:29" s="35" customFormat="1">
      <c r="A9" s="395" t="s">
        <v>2357</v>
      </c>
      <c r="B9" s="28" t="s">
        <v>2358</v>
      </c>
      <c r="C9" s="2485" t="s">
        <v>2590</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05" t="s">
        <v>2359</v>
      </c>
      <c r="Q9" s="1887" t="str">
        <f t="shared" ref="Q9:Q15" si="6">B9</f>
        <v>用途</v>
      </c>
      <c r="R9" s="749" t="s">
        <v>25</v>
      </c>
      <c r="S9" s="750">
        <f t="shared" si="0"/>
        <v>100</v>
      </c>
      <c r="T9" s="749" t="s">
        <v>25</v>
      </c>
      <c r="U9" s="750">
        <f t="shared" si="1"/>
        <v>100</v>
      </c>
      <c r="V9" s="749" t="s">
        <v>25</v>
      </c>
      <c r="W9" s="750">
        <f t="shared" si="2"/>
        <v>100</v>
      </c>
      <c r="X9" s="751"/>
      <c r="Y9" s="2831"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121</v>
      </c>
      <c r="G10" s="412"/>
      <c r="H10" s="52">
        <f>ROUND(100/'数据-取费表'!B14,0)</f>
        <v>121</v>
      </c>
      <c r="I10" s="412"/>
      <c r="J10" s="52">
        <f>ROUND(100/'数据-取费表'!B14,0)</f>
        <v>121</v>
      </c>
      <c r="K10" s="655"/>
      <c r="L10" s="1248"/>
      <c r="M10" s="1249"/>
      <c r="N10" s="1249"/>
      <c r="O10" s="1250"/>
      <c r="P10" s="3005"/>
      <c r="Q10" s="1887" t="str">
        <f t="shared" si="6"/>
        <v>土地使用年限（年）</v>
      </c>
      <c r="R10" s="749" t="s">
        <v>25</v>
      </c>
      <c r="S10" s="750">
        <f t="shared" si="0"/>
        <v>121</v>
      </c>
      <c r="T10" s="749" t="s">
        <v>25</v>
      </c>
      <c r="U10" s="750">
        <f t="shared" si="1"/>
        <v>121</v>
      </c>
      <c r="V10" s="749" t="s">
        <v>25</v>
      </c>
      <c r="W10" s="750">
        <f t="shared" si="2"/>
        <v>121</v>
      </c>
      <c r="X10" s="751"/>
      <c r="Y10" s="2831"/>
      <c r="Z10" s="23" t="str">
        <f t="shared" si="7"/>
        <v>土地使用年限（年）</v>
      </c>
      <c r="AA10" s="752">
        <f t="shared" si="3"/>
        <v>0.82644628099173556</v>
      </c>
      <c r="AB10" s="752">
        <f t="shared" si="4"/>
        <v>0.82644628099173556</v>
      </c>
      <c r="AC10" s="752">
        <f t="shared" si="5"/>
        <v>0.82644628099173556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2363</v>
      </c>
      <c r="B15" s="613" t="s">
        <v>2591</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8" t="s">
        <v>2364</v>
      </c>
      <c r="Q15" s="1899" t="str">
        <f t="shared" si="6"/>
        <v>产业集聚程度</v>
      </c>
      <c r="R15" s="753" t="s">
        <v>25</v>
      </c>
      <c r="S15" s="754">
        <f t="shared" si="0"/>
        <v>100</v>
      </c>
      <c r="T15" s="753" t="s">
        <v>25</v>
      </c>
      <c r="U15" s="754">
        <f t="shared" si="1"/>
        <v>100</v>
      </c>
      <c r="V15" s="753" t="s">
        <v>25</v>
      </c>
      <c r="W15" s="754">
        <f t="shared" si="2"/>
        <v>100</v>
      </c>
      <c r="X15" s="1900"/>
      <c r="Y15" s="3008"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615" t="s">
        <v>2507</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15">
      <c r="A19" s="408"/>
      <c r="B19" s="615" t="s">
        <v>2547</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9"/>
      <c r="Q19" s="1899" t="str">
        <f t="shared" ref="Q19:Q33" si="8">B19</f>
        <v>区域土地利用方向</v>
      </c>
      <c r="R19" s="753" t="s">
        <v>25</v>
      </c>
      <c r="S19" s="754">
        <f>F19</f>
        <v>100</v>
      </c>
      <c r="T19" s="753" t="s">
        <v>25</v>
      </c>
      <c r="U19" s="754">
        <f>H19</f>
        <v>100</v>
      </c>
      <c r="V19" s="753" t="s">
        <v>25</v>
      </c>
      <c r="W19" s="754">
        <f>J19</f>
        <v>100</v>
      </c>
      <c r="X19" s="1900"/>
      <c r="Y19" s="300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9"/>
      <c r="Q20" s="1899"/>
      <c r="R20" s="753"/>
      <c r="S20" s="754"/>
      <c r="T20" s="753"/>
      <c r="U20" s="754"/>
      <c r="V20" s="753"/>
      <c r="W20" s="754"/>
      <c r="X20" s="1900"/>
      <c r="Y20" s="3009"/>
      <c r="Z20" s="1902"/>
      <c r="AA20" s="1903"/>
      <c r="AB20" s="1903"/>
      <c r="AC20" s="1903"/>
    </row>
    <row r="21" spans="1:29" ht="71.25">
      <c r="A21" s="383"/>
      <c r="B21" s="615" t="s">
        <v>2592</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9"/>
      <c r="Q21" s="1899" t="str">
        <f t="shared" si="8"/>
        <v>环境状况</v>
      </c>
      <c r="R21" s="753" t="s">
        <v>25</v>
      </c>
      <c r="S21" s="754">
        <f>F21</f>
        <v>100</v>
      </c>
      <c r="T21" s="753" t="s">
        <v>25</v>
      </c>
      <c r="U21" s="754">
        <f>H21</f>
        <v>100</v>
      </c>
      <c r="V21" s="753" t="s">
        <v>25</v>
      </c>
      <c r="W21" s="754">
        <f>J21</f>
        <v>100</v>
      </c>
      <c r="X21" s="1900"/>
      <c r="Y21" s="300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s="35" customFormat="1" ht="42.75">
      <c r="A23" s="633"/>
      <c r="B23" s="615" t="s">
        <v>2450</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9"/>
      <c r="Q23" s="1887" t="str">
        <f t="shared" si="8"/>
        <v>公共配套设施</v>
      </c>
      <c r="R23" s="749" t="s">
        <v>25</v>
      </c>
      <c r="S23" s="750">
        <f>F23</f>
        <v>100</v>
      </c>
      <c r="T23" s="749" t="s">
        <v>25</v>
      </c>
      <c r="U23" s="750">
        <f>H23</f>
        <v>100</v>
      </c>
      <c r="V23" s="749" t="s">
        <v>25</v>
      </c>
      <c r="W23" s="750">
        <f>J23</f>
        <v>100</v>
      </c>
      <c r="X23" s="751"/>
      <c r="Y23" s="300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09"/>
      <c r="Q24" s="1887"/>
      <c r="R24" s="749"/>
      <c r="S24" s="750"/>
      <c r="T24" s="749"/>
      <c r="U24" s="750"/>
      <c r="V24" s="749"/>
      <c r="W24" s="750"/>
      <c r="X24" s="751"/>
      <c r="Y24" s="3009"/>
      <c r="Z24" s="23"/>
      <c r="AA24" s="752">
        <v>1</v>
      </c>
      <c r="AB24" s="752">
        <v>1</v>
      </c>
      <c r="AC24" s="752">
        <v>1</v>
      </c>
    </row>
    <row r="25" spans="1:29" s="35" customFormat="1" ht="28.5">
      <c r="A25" s="633"/>
      <c r="B25" s="617" t="s">
        <v>2451</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9"/>
      <c r="Q25" s="1887" t="str">
        <f t="shared" ref="Q25" si="9">B25</f>
        <v>基础设施水平</v>
      </c>
      <c r="R25" s="749" t="s">
        <v>25</v>
      </c>
      <c r="S25" s="750">
        <f>F25</f>
        <v>100</v>
      </c>
      <c r="T25" s="749" t="s">
        <v>25</v>
      </c>
      <c r="U25" s="750">
        <f>H25</f>
        <v>100</v>
      </c>
      <c r="V25" s="749" t="s">
        <v>25</v>
      </c>
      <c r="W25" s="750">
        <f>J25</f>
        <v>100</v>
      </c>
      <c r="X25" s="751"/>
      <c r="Y25" s="300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09"/>
      <c r="Q26" s="1887"/>
      <c r="R26" s="749"/>
      <c r="S26" s="750"/>
      <c r="T26" s="749"/>
      <c r="U26" s="750"/>
      <c r="V26" s="749"/>
      <c r="W26" s="750"/>
      <c r="X26" s="751"/>
      <c r="Y26" s="3009"/>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9"/>
      <c r="Z27" s="1902" t="str">
        <f t="shared" ref="Z27:Z40" si="13">Q27</f>
        <v>临街状况</v>
      </c>
      <c r="AA27" s="1903">
        <f t="shared" si="3"/>
        <v>1</v>
      </c>
      <c r="AB27" s="1903">
        <f t="shared" si="4"/>
        <v>1</v>
      </c>
      <c r="AC27" s="1903">
        <f t="shared" si="5"/>
        <v>1</v>
      </c>
    </row>
    <row r="28" spans="1:29" ht="27">
      <c r="A28" s="408"/>
      <c r="B28" s="617" t="s">
        <v>2482</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9"/>
      <c r="Q28" s="1899" t="str">
        <f t="shared" si="8"/>
        <v>毗邻道路的类型与等级</v>
      </c>
      <c r="R28" s="753" t="s">
        <v>25</v>
      </c>
      <c r="S28" s="754">
        <f t="shared" si="10"/>
        <v>100</v>
      </c>
      <c r="T28" s="753" t="s">
        <v>25</v>
      </c>
      <c r="U28" s="754">
        <f t="shared" si="11"/>
        <v>100</v>
      </c>
      <c r="V28" s="753" t="s">
        <v>25</v>
      </c>
      <c r="W28" s="754">
        <f t="shared" si="12"/>
        <v>100</v>
      </c>
      <c r="X28" s="1900"/>
      <c r="Y28" s="300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9"/>
      <c r="Q29" s="1899"/>
      <c r="R29" s="753"/>
      <c r="S29" s="754"/>
      <c r="T29" s="753"/>
      <c r="U29" s="754"/>
      <c r="V29" s="753"/>
      <c r="W29" s="754"/>
      <c r="X29" s="1900"/>
      <c r="Y29" s="3009"/>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9"/>
      <c r="Q30" s="1899" t="str">
        <f t="shared" si="8"/>
        <v>土地级别</v>
      </c>
      <c r="R30" s="753" t="s">
        <v>25</v>
      </c>
      <c r="S30" s="754">
        <f t="shared" si="10"/>
        <v>100</v>
      </c>
      <c r="T30" s="753" t="s">
        <v>25</v>
      </c>
      <c r="U30" s="754">
        <f t="shared" si="11"/>
        <v>100</v>
      </c>
      <c r="V30" s="753" t="s">
        <v>25</v>
      </c>
      <c r="W30" s="754">
        <f t="shared" si="12"/>
        <v>100</v>
      </c>
      <c r="X30" s="1900"/>
      <c r="Y30" s="300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9"/>
      <c r="Q31" s="1899">
        <f t="shared" si="8"/>
        <v>111</v>
      </c>
      <c r="R31" s="753" t="s">
        <v>25</v>
      </c>
      <c r="S31" s="754">
        <f t="shared" si="10"/>
        <v>100</v>
      </c>
      <c r="T31" s="753" t="s">
        <v>25</v>
      </c>
      <c r="U31" s="754">
        <f t="shared" si="11"/>
        <v>100</v>
      </c>
      <c r="V31" s="753" t="s">
        <v>25</v>
      </c>
      <c r="W31" s="754">
        <f t="shared" si="12"/>
        <v>100</v>
      </c>
      <c r="X31" s="1900"/>
      <c r="Y31" s="300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4" t="s">
        <v>2370</v>
      </c>
      <c r="Q32" s="1899">
        <f t="shared" si="8"/>
        <v>111</v>
      </c>
      <c r="R32" s="753" t="s">
        <v>25</v>
      </c>
      <c r="S32" s="754">
        <f t="shared" si="10"/>
        <v>100</v>
      </c>
      <c r="T32" s="753" t="s">
        <v>25</v>
      </c>
      <c r="U32" s="754">
        <f t="shared" si="11"/>
        <v>100</v>
      </c>
      <c r="V32" s="753" t="s">
        <v>25</v>
      </c>
      <c r="W32" s="754">
        <f t="shared" si="12"/>
        <v>100</v>
      </c>
      <c r="X32" s="1900"/>
      <c r="Y32" s="3013" t="s">
        <v>2370</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3"/>
      <c r="Q33" s="1899">
        <f t="shared" si="8"/>
        <v>111</v>
      </c>
      <c r="R33" s="756" t="s">
        <v>25</v>
      </c>
      <c r="S33" s="757">
        <f t="shared" si="10"/>
        <v>100</v>
      </c>
      <c r="T33" s="756" t="s">
        <v>25</v>
      </c>
      <c r="U33" s="757">
        <f t="shared" si="11"/>
        <v>100</v>
      </c>
      <c r="V33" s="756" t="s">
        <v>25</v>
      </c>
      <c r="W33" s="757">
        <f t="shared" si="12"/>
        <v>100</v>
      </c>
      <c r="X33" s="758"/>
      <c r="Y33" s="3013"/>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3"/>
      <c r="Q34" s="1899" t="str">
        <f>B34</f>
        <v>宗地面积</v>
      </c>
      <c r="R34" s="753" t="s">
        <v>25</v>
      </c>
      <c r="S34" s="754" t="e">
        <f t="shared" si="10"/>
        <v>#N/A</v>
      </c>
      <c r="T34" s="753" t="s">
        <v>25</v>
      </c>
      <c r="U34" s="754" t="e">
        <f t="shared" si="11"/>
        <v>#N/A</v>
      </c>
      <c r="V34" s="753" t="s">
        <v>25</v>
      </c>
      <c r="W34" s="754" t="e">
        <f t="shared" si="12"/>
        <v>#N/A</v>
      </c>
      <c r="X34" s="1900"/>
      <c r="Y34" s="3013"/>
      <c r="Z34" s="1902" t="str">
        <f t="shared" si="13"/>
        <v>宗地面积</v>
      </c>
      <c r="AA34" s="1903" t="e">
        <f t="shared" si="3"/>
        <v>#N/A</v>
      </c>
      <c r="AB34" s="1903" t="e">
        <f t="shared" si="4"/>
        <v>#N/A</v>
      </c>
      <c r="AC34" s="1903" t="e">
        <f t="shared" si="5"/>
        <v>#N/A</v>
      </c>
    </row>
    <row r="35" spans="1:29" ht="15">
      <c r="A35" s="453"/>
      <c r="B35" s="402" t="s">
        <v>2551</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13"/>
      <c r="Q35" s="1899" t="str">
        <f t="shared" ref="Q35:Q40" si="14">B35</f>
        <v>宗地形状</v>
      </c>
      <c r="R35" s="753" t="s">
        <v>25</v>
      </c>
      <c r="S35" s="754">
        <f t="shared" si="10"/>
        <v>100</v>
      </c>
      <c r="T35" s="753" t="s">
        <v>25</v>
      </c>
      <c r="U35" s="754">
        <f t="shared" si="11"/>
        <v>100</v>
      </c>
      <c r="V35" s="753" t="s">
        <v>25</v>
      </c>
      <c r="W35" s="754">
        <f t="shared" si="12"/>
        <v>100</v>
      </c>
      <c r="X35" s="1900"/>
      <c r="Y35" s="3013"/>
      <c r="Z35" s="1902" t="str">
        <f t="shared" si="13"/>
        <v>宗地形状</v>
      </c>
      <c r="AA35" s="1903">
        <f t="shared" si="3"/>
        <v>1</v>
      </c>
      <c r="AB35" s="1903">
        <f t="shared" si="4"/>
        <v>1</v>
      </c>
      <c r="AC35" s="1903">
        <f t="shared" si="5"/>
        <v>1</v>
      </c>
    </row>
    <row r="36" spans="1:29" s="35" customFormat="1" ht="15">
      <c r="A36" s="454"/>
      <c r="B36" s="402" t="s">
        <v>2553</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13"/>
      <c r="Q36" s="1899" t="str">
        <f t="shared" si="14"/>
        <v>宗地开发程度</v>
      </c>
      <c r="R36" s="749" t="s">
        <v>25</v>
      </c>
      <c r="S36" s="750">
        <f t="shared" si="10"/>
        <v>100</v>
      </c>
      <c r="T36" s="749" t="s">
        <v>25</v>
      </c>
      <c r="U36" s="750">
        <f t="shared" si="11"/>
        <v>100</v>
      </c>
      <c r="V36" s="749" t="s">
        <v>25</v>
      </c>
      <c r="W36" s="750">
        <f t="shared" si="12"/>
        <v>100</v>
      </c>
      <c r="X36" s="751"/>
      <c r="Y36" s="3013"/>
      <c r="Z36" s="23" t="str">
        <f t="shared" si="13"/>
        <v>宗地开发程度</v>
      </c>
      <c r="AA36" s="752">
        <f t="shared" si="3"/>
        <v>1</v>
      </c>
      <c r="AB36" s="752">
        <f t="shared" si="4"/>
        <v>1</v>
      </c>
      <c r="AC36" s="752">
        <f t="shared" si="5"/>
        <v>1</v>
      </c>
    </row>
    <row r="37" spans="1:29" ht="15">
      <c r="A37" s="453"/>
      <c r="B37" s="402" t="s">
        <v>2554</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13" t="s">
        <v>2370</v>
      </c>
      <c r="Q37" s="1899" t="str">
        <f t="shared" si="14"/>
        <v>工程地质条件</v>
      </c>
      <c r="R37" s="753" t="s">
        <v>25</v>
      </c>
      <c r="S37" s="754">
        <f t="shared" si="10"/>
        <v>100</v>
      </c>
      <c r="T37" s="753" t="s">
        <v>25</v>
      </c>
      <c r="U37" s="754">
        <f t="shared" si="11"/>
        <v>100</v>
      </c>
      <c r="V37" s="753" t="s">
        <v>25</v>
      </c>
      <c r="W37" s="754">
        <f t="shared" si="12"/>
        <v>100</v>
      </c>
      <c r="X37" s="1900"/>
      <c r="Y37" s="3013" t="s">
        <v>2370</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3"/>
      <c r="Q38" s="1899">
        <f t="shared" si="14"/>
        <v>111</v>
      </c>
      <c r="R38" s="753" t="s">
        <v>25</v>
      </c>
      <c r="S38" s="754">
        <f t="shared" si="10"/>
        <v>100</v>
      </c>
      <c r="T38" s="753" t="s">
        <v>25</v>
      </c>
      <c r="U38" s="754">
        <f t="shared" si="11"/>
        <v>100</v>
      </c>
      <c r="V38" s="753" t="s">
        <v>25</v>
      </c>
      <c r="W38" s="754">
        <f t="shared" si="12"/>
        <v>100</v>
      </c>
      <c r="X38" s="1900"/>
      <c r="Y38" s="301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3"/>
      <c r="Q39" s="1899">
        <f t="shared" si="14"/>
        <v>111</v>
      </c>
      <c r="R39" s="753" t="s">
        <v>25</v>
      </c>
      <c r="S39" s="754">
        <f t="shared" si="10"/>
        <v>100</v>
      </c>
      <c r="T39" s="753" t="s">
        <v>25</v>
      </c>
      <c r="U39" s="754">
        <f t="shared" si="11"/>
        <v>100</v>
      </c>
      <c r="V39" s="753" t="s">
        <v>25</v>
      </c>
      <c r="W39" s="754">
        <f t="shared" si="12"/>
        <v>100</v>
      </c>
      <c r="X39" s="1900"/>
      <c r="Y39" s="301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3"/>
      <c r="Q40" s="1899">
        <f t="shared" si="14"/>
        <v>111</v>
      </c>
      <c r="R40" s="756" t="s">
        <v>25</v>
      </c>
      <c r="S40" s="757">
        <f t="shared" si="10"/>
        <v>100</v>
      </c>
      <c r="T40" s="756" t="s">
        <v>25</v>
      </c>
      <c r="U40" s="757">
        <f t="shared" si="11"/>
        <v>100</v>
      </c>
      <c r="V40" s="756" t="s">
        <v>25</v>
      </c>
      <c r="W40" s="757">
        <f t="shared" si="12"/>
        <v>100</v>
      </c>
      <c r="X40" s="758"/>
      <c r="Y40" s="3013"/>
      <c r="Z40" s="759">
        <f t="shared" si="13"/>
        <v>111</v>
      </c>
      <c r="AA40" s="1903">
        <f t="shared" si="3"/>
        <v>1</v>
      </c>
      <c r="AB40" s="1903">
        <f t="shared" si="4"/>
        <v>1</v>
      </c>
      <c r="AC40" s="1903">
        <f t="shared" si="5"/>
        <v>1</v>
      </c>
    </row>
    <row r="41" spans="1:29" ht="15">
      <c r="A41" s="460" t="s">
        <v>2518</v>
      </c>
      <c r="B41" s="2493" t="s">
        <v>2593</v>
      </c>
      <c r="C41" s="665" t="s">
        <v>1</v>
      </c>
      <c r="D41" s="462"/>
      <c r="E41" s="463"/>
      <c r="F41" s="464"/>
      <c r="G41" s="465"/>
      <c r="H41" s="466"/>
      <c r="I41" s="463"/>
      <c r="J41" s="466"/>
      <c r="K41" s="762"/>
      <c r="L41" s="1256"/>
      <c r="M41" s="1244"/>
      <c r="N41" s="1244"/>
      <c r="O41" s="1257"/>
      <c r="P41" s="3005" t="str">
        <f>A41</f>
        <v>成交单价</v>
      </c>
      <c r="Q41" s="3005"/>
      <c r="R41" s="3042">
        <f>E41</f>
        <v>0</v>
      </c>
      <c r="S41" s="3042"/>
      <c r="T41" s="3042">
        <f>G41</f>
        <v>0</v>
      </c>
      <c r="U41" s="3042"/>
      <c r="V41" s="3042">
        <f>I41</f>
        <v>0</v>
      </c>
      <c r="W41" s="3042"/>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05" t="str">
        <f>A42</f>
        <v>比较价值（元/平方米）</v>
      </c>
      <c r="Q42" s="3005"/>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02" t="str">
        <f>A43</f>
        <v>估价对象XX用房的比较价值（楼面单价，元/平方米）</v>
      </c>
      <c r="Q43" s="3003"/>
      <c r="R43" s="3056" t="e">
        <f>ROUND(AVERAGE(R42:V42),0)</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4" t="s">
        <v>2558</v>
      </c>
      <c r="D50" s="2495"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2017-8-1</v>
      </c>
      <c r="D63" s="1670">
        <f>EDATE(C63,-3)</f>
        <v>42856</v>
      </c>
      <c r="E63" s="1670">
        <f t="shared" ref="E63:O63" si="18">EDATE(D63,-3)</f>
        <v>42767</v>
      </c>
      <c r="F63" s="1670">
        <f t="shared" si="18"/>
        <v>42675</v>
      </c>
      <c r="G63" s="1670">
        <f t="shared" si="18"/>
        <v>42583</v>
      </c>
      <c r="H63" s="1670">
        <f t="shared" si="18"/>
        <v>42491</v>
      </c>
      <c r="I63" s="1670">
        <f t="shared" si="18"/>
        <v>42401</v>
      </c>
      <c r="J63" s="1670">
        <f t="shared" si="18"/>
        <v>42309</v>
      </c>
      <c r="K63" s="1670">
        <f t="shared" si="18"/>
        <v>42217</v>
      </c>
      <c r="L63" s="1670">
        <f t="shared" si="18"/>
        <v>42125</v>
      </c>
      <c r="M63" s="1670">
        <f t="shared" si="18"/>
        <v>42036</v>
      </c>
      <c r="N63" s="1670">
        <f t="shared" si="18"/>
        <v>41944</v>
      </c>
      <c r="O63" s="1670">
        <f t="shared" si="18"/>
        <v>41852</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7" t="s">
        <v>2575</v>
      </c>
      <c r="B65" s="1456"/>
      <c r="C65" s="1671" t="str">
        <f>YEAR(C63)&amp;"-"&amp;ROUNDUP(MONTH(C63)/3,0)</f>
        <v>2017-3</v>
      </c>
      <c r="D65" s="1671" t="str">
        <f t="shared" ref="D65:O65" si="19">YEAR(D63)&amp;"-"&amp;ROUNDUP(MONTH(D63)/3,0)</f>
        <v>2017-2</v>
      </c>
      <c r="E65" s="1671" t="str">
        <f t="shared" si="19"/>
        <v>2017-1</v>
      </c>
      <c r="F65" s="1671" t="str">
        <f t="shared" si="19"/>
        <v>2016-4</v>
      </c>
      <c r="G65" s="1671" t="str">
        <f t="shared" si="19"/>
        <v>2016-3</v>
      </c>
      <c r="H65" s="1671" t="str">
        <f t="shared" si="19"/>
        <v>2016-2</v>
      </c>
      <c r="I65" s="1671" t="str">
        <f t="shared" si="19"/>
        <v>2016-1</v>
      </c>
      <c r="J65" s="1671" t="str">
        <f t="shared" si="19"/>
        <v>2015-4</v>
      </c>
      <c r="K65" s="1671" t="str">
        <f t="shared" si="19"/>
        <v>2015-3</v>
      </c>
      <c r="L65" s="1671" t="str">
        <f t="shared" si="19"/>
        <v>2015-2</v>
      </c>
      <c r="M65" s="1671" t="str">
        <f t="shared" si="19"/>
        <v>2015-1</v>
      </c>
      <c r="N65" s="1671" t="str">
        <f t="shared" si="19"/>
        <v>2014-4</v>
      </c>
      <c r="O65" s="1671" t="str">
        <f t="shared" si="19"/>
        <v>2014-3</v>
      </c>
      <c r="P65" s="488"/>
    </row>
    <row r="66" spans="1:17" s="35" customFormat="1" ht="33.75" customHeight="1">
      <c r="A66" s="2503" t="s">
        <v>2595</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1264</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1265</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估价对象为北京市房地产，为所有。根据《不动产权证书》[]，估价对象建筑面积为689.57平方米，（分摊）出让国有建设用地使用权面积为平方米。估价对象用途为。</v>
      </c>
      <c r="B6" s="1917"/>
      <c r="C6" s="1917"/>
      <c r="D6" s="1917"/>
      <c r="E6" s="1917"/>
      <c r="F6" s="1917"/>
      <c r="G6" s="1917"/>
    </row>
    <row r="7" spans="1:7" ht="18.75">
      <c r="A7" s="1918" t="s">
        <v>1266</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1267</v>
      </c>
      <c r="B9" s="1922"/>
    </row>
    <row r="10" spans="1:7" ht="18">
      <c r="A10" s="1923" t="str">
        <f>TEXT(项目基本情况!D2,"yyyy年m月d日;;")&amp;IF(项目基本情况!B2=项目基本情况!D2,"（评估专业人员实地查勘之日）","")</f>
        <v>2017年8月14日</v>
      </c>
      <c r="B10" s="1924"/>
      <c r="C10" s="1924"/>
      <c r="D10" s="1924"/>
      <c r="E10" s="1924"/>
      <c r="F10" s="1924"/>
      <c r="G10" s="1924"/>
    </row>
    <row r="11" spans="1:7" ht="18.75">
      <c r="A11" s="1915" t="s">
        <v>1268</v>
      </c>
    </row>
    <row r="12" spans="1:7" ht="75">
      <c r="A12" s="1917" t="s">
        <v>1269</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本次估价的“房地产价值”是指在正常市场情况下，在价值时点2017年8月14日，估价对象规划用途为，假定未设立法定优先受偿款下的房地产市场价值。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1263</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1262</v>
      </c>
    </row>
    <row r="18" spans="1:1" ht="18">
      <c r="A18" s="192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0" zoomScale="90" zoomScaleNormal="90" zoomScaleSheetLayoutView="90" workbookViewId="0">
      <selection activeCell="F35" sqref="F35"/>
    </sheetView>
  </sheetViews>
  <sheetFormatPr defaultColWidth="9" defaultRowHeight="12.75"/>
  <cols>
    <col min="1" max="1" width="9.75" style="2583" customWidth="1"/>
    <col min="2" max="2" width="19.25" style="2696"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3" customWidth="1"/>
    <col min="27" max="32" width="9.375" style="2659" customWidth="1"/>
    <col min="33" max="36" width="9.375" style="2583" customWidth="1"/>
    <col min="37" max="38" width="9.375" style="2508" customWidth="1"/>
    <col min="39" max="16384" width="9" style="2508"/>
  </cols>
  <sheetData>
    <row r="1" spans="1:36" ht="28.5">
      <c r="A1" s="161" t="s">
        <v>2596</v>
      </c>
      <c r="B1" s="2505"/>
      <c r="C1" s="162" t="s">
        <v>2597</v>
      </c>
      <c r="D1" s="2506">
        <f>SUM(D29:D30,D33:D39)</f>
        <v>689.57</v>
      </c>
      <c r="E1" s="2506"/>
      <c r="F1" s="2506"/>
      <c r="G1" s="2506"/>
      <c r="H1" s="2506"/>
      <c r="I1" s="2506"/>
      <c r="J1" s="2506"/>
      <c r="L1" s="2507"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f ca="1">C26</f>
        <v>12963226</v>
      </c>
      <c r="C2" s="2509" t="s">
        <v>2605</v>
      </c>
      <c r="D2" s="2510" t="s">
        <v>2606</v>
      </c>
      <c r="E2" s="2511" t="s">
        <v>2826</v>
      </c>
      <c r="F2" s="2510" t="s">
        <v>2607</v>
      </c>
      <c r="G2" s="2512" t="str">
        <f>项目基本情况!F9</f>
        <v>三级</v>
      </c>
      <c r="H2" s="2513" t="s">
        <v>2608</v>
      </c>
      <c r="I2" s="2512" t="str">
        <f>项目基本情况!F10</f>
        <v>Ⅲ—11</v>
      </c>
      <c r="J2" s="2514"/>
      <c r="L2" s="2515"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40459</v>
      </c>
      <c r="U2" s="1710"/>
      <c r="V2" s="1709">
        <f ca="1">ROUND(T2*U2/10000,0)</f>
        <v>0</v>
      </c>
      <c r="W2" s="1713"/>
      <c r="X2" s="1713"/>
      <c r="Y2" s="1713"/>
      <c r="Z2" s="1713"/>
      <c r="AA2" s="1713"/>
      <c r="AB2" s="1713"/>
      <c r="AC2" s="1714"/>
      <c r="AD2" s="1715"/>
      <c r="AE2" s="1715"/>
      <c r="AF2" s="1715"/>
      <c r="AG2" s="1715"/>
      <c r="AH2" s="1715"/>
      <c r="AI2" s="1715"/>
      <c r="AJ2" s="1716"/>
    </row>
    <row r="3" spans="1:36" ht="15.75">
      <c r="A3" s="167" t="s">
        <v>2610</v>
      </c>
      <c r="B3" s="168">
        <f ca="1">ROUND(B2/D1,0)</f>
        <v>18799</v>
      </c>
      <c r="C3" s="2509" t="s">
        <v>2611</v>
      </c>
      <c r="D3" s="2510" t="s">
        <v>2612</v>
      </c>
      <c r="E3" s="2516" t="s">
        <v>2839</v>
      </c>
      <c r="F3" s="2517" t="s">
        <v>2613</v>
      </c>
      <c r="G3" s="941">
        <f>项目基本情况!C15</f>
        <v>2.5</v>
      </c>
      <c r="H3" s="115" t="s">
        <v>2614</v>
      </c>
      <c r="I3" s="974">
        <v>4</v>
      </c>
      <c r="J3" s="2514" t="s">
        <v>2615</v>
      </c>
      <c r="L3" s="2515" t="s">
        <v>2616</v>
      </c>
      <c r="M3" s="1120">
        <f>SUMPRODUCT((区片价!B29:B48=I2)*(区片价!C3:F3=E2)*(区片价!C29:F48))</f>
        <v>19300</v>
      </c>
      <c r="N3" s="1123">
        <f>SUMPRODUCT((因素修正幅度!B29:B48=I2)*(因素修正幅度!C3:F3=E2)*(因素修正幅度!C29:F48))</f>
        <v>0.1</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29042</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60"/>
      <c r="B4" s="3061"/>
      <c r="C4" s="3061"/>
      <c r="D4" s="3062"/>
      <c r="E4" s="3062"/>
      <c r="F4" s="3062"/>
      <c r="G4" s="3062"/>
      <c r="H4" s="3062"/>
      <c r="I4" s="3062"/>
      <c r="J4" s="3063"/>
      <c r="L4" s="2515"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23430</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2618</v>
      </c>
      <c r="B5" s="2519" t="s">
        <v>2619</v>
      </c>
      <c r="C5" s="942">
        <f>ROUND(IF(E2="商业",IF(F16="增加",C6*C7+C16,C6*C7-C16),IF(E2="住宅",IF(F16="增加",C6*C12+C16,C6*C12-C16),IF(F16="增加",C6+C16,C6-C16))),0)</f>
        <v>19280</v>
      </c>
      <c r="D5" s="1877">
        <f>ROUND(IF(E2="商业",IF(F16="增加",C6+C16,C6-C16)),0)</f>
        <v>19280</v>
      </c>
      <c r="E5" s="1877">
        <f>ROUND(IF(E2="住宅",IF(F16="增加",C6+C16,C6-C16)),0)</f>
        <v>0</v>
      </c>
      <c r="F5" s="2520"/>
      <c r="G5" s="2521"/>
      <c r="H5" s="2521"/>
      <c r="I5" s="2521"/>
      <c r="J5" s="2522"/>
      <c r="K5" s="2523"/>
      <c r="L5" s="2515"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18799</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2621</v>
      </c>
      <c r="C6" s="943">
        <f>SUMIF(L1:L12,G2,M1:M12)</f>
        <v>19300</v>
      </c>
      <c r="D6" s="2530" t="s">
        <v>2622</v>
      </c>
      <c r="E6" s="2531"/>
      <c r="F6" s="2531"/>
      <c r="G6" s="2532"/>
      <c r="H6" s="2532"/>
      <c r="I6" s="2532"/>
      <c r="J6" s="2533"/>
      <c r="K6" s="2534"/>
      <c r="L6" s="2515"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16009</v>
      </c>
      <c r="U6" s="1710"/>
      <c r="V6" s="1709">
        <f t="shared" ca="1" si="1"/>
        <v>0</v>
      </c>
      <c r="W6" s="1713"/>
      <c r="X6" s="1713"/>
      <c r="Y6" s="1713"/>
      <c r="Z6" s="1713"/>
      <c r="AA6" s="1713"/>
      <c r="AB6" s="1713"/>
      <c r="AC6" s="2524"/>
      <c r="AD6" s="2525"/>
      <c r="AE6" s="2525"/>
      <c r="AF6" s="2525"/>
      <c r="AG6" s="2525"/>
      <c r="AH6" s="2525"/>
      <c r="AI6" s="2525"/>
      <c r="AJ6" s="2526"/>
    </row>
    <row r="7" spans="1:36" ht="24">
      <c r="A7" s="3064">
        <f>IF(E2="商业",IF(C8="不临58条商业街","",2),"")</f>
        <v>2</v>
      </c>
      <c r="B7" s="2535" t="s">
        <v>2624</v>
      </c>
      <c r="C7" s="944">
        <f>IF(C8="不临58条商业街",1,ROUND(1+(1.6*E8+1.2*E9+0.8*E10+0.4*E11)*C9,4))</f>
        <v>1</v>
      </c>
      <c r="D7" s="2536" t="s">
        <v>2625</v>
      </c>
      <c r="E7" s="975">
        <v>60</v>
      </c>
      <c r="F7" s="2537"/>
      <c r="G7" s="2538"/>
      <c r="H7" s="2538"/>
      <c r="I7" s="2538"/>
      <c r="J7" s="2539"/>
      <c r="K7" s="2534"/>
      <c r="L7" s="2515"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14078</v>
      </c>
      <c r="U7" s="1710"/>
      <c r="V7" s="1709">
        <f t="shared" ca="1" si="1"/>
        <v>0</v>
      </c>
      <c r="W7" s="1905" t="s">
        <v>2627</v>
      </c>
      <c r="X7" s="1711" t="str">
        <f>G2</f>
        <v>三级</v>
      </c>
      <c r="Y7" s="1711" t="s">
        <v>2628</v>
      </c>
      <c r="Z7" s="1712">
        <f>G3</f>
        <v>2.5</v>
      </c>
      <c r="AA7" s="1713"/>
      <c r="AB7" s="1713"/>
      <c r="AC7" s="1714"/>
      <c r="AD7" s="1715"/>
      <c r="AE7" s="1715"/>
      <c r="AF7" s="1715"/>
      <c r="AG7" s="1715"/>
      <c r="AH7" s="1715"/>
      <c r="AI7" s="1715"/>
      <c r="AJ7" s="1716"/>
    </row>
    <row r="8" spans="1:36" ht="15">
      <c r="A8" s="3065"/>
      <c r="B8" s="115" t="s">
        <v>2629</v>
      </c>
      <c r="C8" s="2540"/>
      <c r="D8" s="945" t="s">
        <v>89</v>
      </c>
      <c r="E8" s="946">
        <f>ROUND(C11/E7,4)</f>
        <v>0</v>
      </c>
      <c r="F8" s="2541" t="s">
        <v>2630</v>
      </c>
      <c r="G8" s="2542"/>
      <c r="H8" s="2542"/>
      <c r="I8" s="2542"/>
      <c r="J8" s="2543"/>
      <c r="L8" s="2515"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57" t="s">
        <v>2632</v>
      </c>
      <c r="X8" s="3058"/>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65"/>
      <c r="B9" s="115" t="s">
        <v>2645</v>
      </c>
      <c r="C9" s="947">
        <f>SUMIF(修正!C59:C119,C8,修正!E59:E119)</f>
        <v>0</v>
      </c>
      <c r="D9" s="117" t="s">
        <v>90</v>
      </c>
      <c r="E9" s="117">
        <f>ROUND(C11/E7,4)</f>
        <v>0</v>
      </c>
      <c r="F9" s="2541" t="s">
        <v>2646</v>
      </c>
      <c r="G9" s="2542"/>
      <c r="H9" s="2542"/>
      <c r="I9" s="2542"/>
      <c r="J9" s="2543"/>
      <c r="L9" s="2515"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59"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5"/>
      <c r="B10" s="115" t="s">
        <v>2650</v>
      </c>
      <c r="C10" s="117">
        <f>SUMIF(修正!C59:C119,C8,修正!F59:F119)</f>
        <v>0</v>
      </c>
      <c r="D10" s="117" t="s">
        <v>91</v>
      </c>
      <c r="E10" s="117">
        <f>ROUND(C11/E7,4)</f>
        <v>0</v>
      </c>
      <c r="F10" s="2541" t="s">
        <v>2651</v>
      </c>
      <c r="G10" s="2542"/>
      <c r="H10" s="2542"/>
      <c r="I10" s="2542"/>
      <c r="J10" s="2543"/>
      <c r="L10" s="2515"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5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5"/>
      <c r="B11" s="2544" t="s">
        <v>2653</v>
      </c>
      <c r="C11" s="948">
        <f>C10/4</f>
        <v>0</v>
      </c>
      <c r="D11" s="948" t="s">
        <v>92</v>
      </c>
      <c r="E11" s="948">
        <f>ROUND(C11/E7,4)</f>
        <v>0</v>
      </c>
      <c r="F11" s="2545" t="s">
        <v>2654</v>
      </c>
      <c r="G11" s="2546"/>
      <c r="H11" s="2546"/>
      <c r="I11" s="2546"/>
      <c r="J11" s="2547"/>
      <c r="L11" s="2515"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59"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64" t="str">
        <f>IF(E2="住宅",2,"")</f>
        <v/>
      </c>
      <c r="B12" s="2548" t="s">
        <v>2658</v>
      </c>
      <c r="C12" s="944">
        <f>ROUND(C15*D15*E15*F15*G15*H15*I15*J15,4)</f>
        <v>1.32</v>
      </c>
      <c r="D12" s="2549" t="s">
        <v>2659</v>
      </c>
      <c r="E12" s="2550"/>
      <c r="F12" s="2550"/>
      <c r="G12" s="2551"/>
      <c r="H12" s="2551"/>
      <c r="I12" s="2551"/>
      <c r="J12" s="2552"/>
      <c r="L12" s="2553"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59"/>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6"/>
      <c r="B13" s="2554" t="s">
        <v>2662</v>
      </c>
      <c r="C13" s="2555" t="s">
        <v>2663</v>
      </c>
      <c r="D13" s="2556" t="s">
        <v>2664</v>
      </c>
      <c r="E13" s="2556" t="s">
        <v>2665</v>
      </c>
      <c r="F13" s="20" t="s">
        <v>2666</v>
      </c>
      <c r="G13" s="2557" t="s">
        <v>2667</v>
      </c>
      <c r="H13" s="2557" t="s">
        <v>2667</v>
      </c>
      <c r="I13" s="2557" t="s">
        <v>2667</v>
      </c>
      <c r="J13" s="2558" t="s">
        <v>2667</v>
      </c>
      <c r="L13" s="1462"/>
      <c r="M13" s="1462"/>
      <c r="N13" s="1462"/>
      <c r="O13" s="1462"/>
      <c r="P13" s="1462"/>
      <c r="Q13" s="1462"/>
      <c r="R13" s="1709">
        <v>12</v>
      </c>
      <c r="S13" s="1710"/>
      <c r="T13" s="1709">
        <f t="shared" ca="1" si="0"/>
        <v>0</v>
      </c>
      <c r="U13" s="1710"/>
      <c r="V13" s="1709">
        <f t="shared" ca="1" si="1"/>
        <v>0</v>
      </c>
      <c r="W13" s="305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66"/>
      <c r="B14" s="2559"/>
      <c r="C14" s="2560" t="s">
        <v>2668</v>
      </c>
      <c r="D14" s="2561" t="s">
        <v>2669</v>
      </c>
      <c r="E14" s="2561" t="s">
        <v>2669</v>
      </c>
      <c r="F14" s="2562" t="s">
        <v>2670</v>
      </c>
      <c r="G14" s="2563" t="s">
        <v>2671</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67"/>
      <c r="B15" s="2567" t="s">
        <v>2672</v>
      </c>
      <c r="C15" s="150">
        <f>IF(C14="有",1.1,1)</f>
        <v>1.1000000000000001</v>
      </c>
      <c r="D15" s="150">
        <f>IF(D14="有",1.1,1)</f>
        <v>1</v>
      </c>
      <c r="E15" s="150">
        <f>IF(E14="有",1.1,1)</f>
        <v>1</v>
      </c>
      <c r="F15" s="150">
        <f>IF(F14="500米范围内",1.2,IF(F14="500-1000米",1.1,1))</f>
        <v>1.2</v>
      </c>
      <c r="G15" s="976">
        <v>1</v>
      </c>
      <c r="H15" s="976">
        <v>1</v>
      </c>
      <c r="I15" s="976">
        <v>1</v>
      </c>
      <c r="J15" s="977">
        <v>1</v>
      </c>
      <c r="L15" s="2568" t="s">
        <v>2673</v>
      </c>
      <c r="M15" s="945" t="s">
        <v>2674</v>
      </c>
      <c r="N15" s="945" t="s">
        <v>2675</v>
      </c>
      <c r="O15" s="945" t="s">
        <v>2676</v>
      </c>
      <c r="P15" s="2569" t="s">
        <v>2677</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64">
        <f>IF(E2="办公",2,IF(E2="工业",2,IF(E2="住宅",3,IF(E2="商业",IF(C8="不临58条商业街",2,3)))))</f>
        <v>3</v>
      </c>
      <c r="B16" s="2535" t="s">
        <v>2678</v>
      </c>
      <c r="C16" s="1885">
        <f>ROUND(SUM(G17:J17)/C17,0)</f>
        <v>20</v>
      </c>
      <c r="D16" s="2570" t="s">
        <v>2679</v>
      </c>
      <c r="E16" s="2737" t="s">
        <v>2842</v>
      </c>
      <c r="F16" s="2738" t="s">
        <v>2844</v>
      </c>
      <c r="G16" s="2739" t="s">
        <v>2843</v>
      </c>
      <c r="H16" s="2571"/>
      <c r="I16" s="2571"/>
      <c r="J16" s="2572"/>
      <c r="L16" s="1460" t="s">
        <v>2680</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65"/>
      <c r="B17" s="2573" t="s">
        <v>2681</v>
      </c>
      <c r="C17" s="949">
        <f>SUMPRODUCT((修正!A2:A5=E2)*(修正!B1:M1=G2)*(修正!B2:M5))</f>
        <v>2.5</v>
      </c>
      <c r="D17" s="2574" t="s">
        <v>2682</v>
      </c>
      <c r="E17" s="948" t="str">
        <f>IF(OR(G2="八级",G2="九级",G2="十级",G2="十一级",G2="十二级"),"五通一平","七通一平")</f>
        <v>七通一平</v>
      </c>
      <c r="F17" s="949" t="s">
        <v>2683</v>
      </c>
      <c r="G17" s="949">
        <f>SUMPRODUCT((七通一平=G16)*(修正!B1:M1=G2)*(修正!B6:M14))</f>
        <v>50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5" t="s">
        <v>2685</v>
      </c>
      <c r="B18" s="2576" t="s">
        <v>2686</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7" customFormat="1" ht="29.25" thickBot="1">
      <c r="A19" s="2575" t="s">
        <v>2687</v>
      </c>
      <c r="B19" s="2576" t="s">
        <v>2688</v>
      </c>
      <c r="C19" s="952">
        <f>ROUND(IF(H19="按公示增长率计算",SUMPRODUCT((地价!A3:A24=YEAR(G19)&amp;"-"&amp;ROUNDUP(MONTH(G19)/3,0))*(地价!X2:AB2=E2)*(地价!X3:AB24)),IF(H19="地价指数",M20/M19,(1+I19)^O19)),4)</f>
        <v>1.2463</v>
      </c>
      <c r="D19" s="2584" t="s">
        <v>2689</v>
      </c>
      <c r="E19" s="953">
        <v>41640</v>
      </c>
      <c r="F19" s="2584" t="s">
        <v>2690</v>
      </c>
      <c r="G19" s="954">
        <f>'数据-取费表'!B2</f>
        <v>42961</v>
      </c>
      <c r="H19" s="2585" t="s">
        <v>2835</v>
      </c>
      <c r="I19" s="955" t="str">
        <f>IF(H19="季度增幅（自定义）",SUMIF(N21:N24,E2,O21:O24),"")</f>
        <v/>
      </c>
      <c r="J19" s="2581"/>
      <c r="K19" s="2582"/>
      <c r="L19" s="2586" t="s">
        <v>2691</v>
      </c>
      <c r="M19" s="1826">
        <f>ROUND(SUMIF(地价!B2:F2,E2,地价!B24:F24),0)</f>
        <v>258</v>
      </c>
      <c r="N19" s="1466" t="s">
        <v>2692</v>
      </c>
      <c r="O19" s="956">
        <f>ROUNDDOWN(DATEDIF(E19,G19,"M")/3,0)</f>
        <v>14</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7" customFormat="1" ht="27.75" thickBot="1">
      <c r="A20" s="2590" t="s">
        <v>2693</v>
      </c>
      <c r="B20" s="2591" t="s">
        <v>2694</v>
      </c>
      <c r="C20" s="957">
        <f ca="1">ROUND(POWER(1+G20,J20-I20)*(POWER(1+G20,I20)-1)/(POWER(1+G20,J20)-1),4)</f>
        <v>0.86409999999999998</v>
      </c>
      <c r="D20" s="2592" t="s">
        <v>2695</v>
      </c>
      <c r="E20" s="1856">
        <f ca="1">存贷款利率!D4/100</f>
        <v>4.3499999999999997E-2</v>
      </c>
      <c r="F20" s="2592" t="s">
        <v>2684</v>
      </c>
      <c r="G20" s="963">
        <f ca="1">SUMIF(M15:P15,E2,M17:P17)</f>
        <v>5.3999999999999999E-2</v>
      </c>
      <c r="H20" s="2592" t="s">
        <v>2696</v>
      </c>
      <c r="I20" s="964">
        <f>'数据-取费表'!B13</f>
        <v>27.03</v>
      </c>
      <c r="J20" s="965">
        <f>IF(E2="住宅",70,IF(E2="商业",40,50))</f>
        <v>40</v>
      </c>
      <c r="K20" s="2582"/>
      <c r="L20" s="2593" t="s">
        <v>2697</v>
      </c>
      <c r="M20" s="1827">
        <f>ROUND(SUMPRODUCT((地价!A4:A24=YEAR(G19)&amp;"-"&amp;ROUNDUP(MONTH(G19)/3,0))*(地价!B2:F2=E2)*(地价!B4:F24)),0)</f>
        <v>321</v>
      </c>
      <c r="N20" s="2594" t="s">
        <v>2698</v>
      </c>
      <c r="O20" s="2595" t="s">
        <v>2699</v>
      </c>
      <c r="P20" s="2596" t="s">
        <v>2700</v>
      </c>
      <c r="R20" s="1462"/>
      <c r="S20" s="1462"/>
      <c r="T20" s="1462"/>
      <c r="U20" s="1462"/>
      <c r="V20" s="1462"/>
      <c r="W20" s="1462"/>
      <c r="X20" s="1462"/>
      <c r="Y20" s="1462"/>
      <c r="Z20" s="1462"/>
      <c r="AA20" s="1462"/>
      <c r="AB20" s="1462"/>
      <c r="AC20" s="1462"/>
      <c r="AD20" s="1462"/>
      <c r="AE20" s="2582"/>
      <c r="AF20" s="2582"/>
    </row>
    <row r="21" spans="1:37" s="2527" customFormat="1" ht="15">
      <c r="A21" s="2597" t="s">
        <v>2701</v>
      </c>
      <c r="B21" s="2598" t="s">
        <v>2834</v>
      </c>
      <c r="C21" s="966">
        <f>IF(B21="容积率修正",IF(G3&lt;=10,D22,J22),C23)</f>
        <v>0.86560000000000004</v>
      </c>
      <c r="D21" s="2599"/>
      <c r="E21" s="2599"/>
      <c r="F21" s="2599"/>
      <c r="G21" s="2599"/>
      <c r="H21" s="2599"/>
      <c r="I21" s="2599"/>
      <c r="J21" s="2600"/>
      <c r="K21" s="2582"/>
      <c r="N21" s="2601" t="s">
        <v>2702</v>
      </c>
      <c r="O21" s="1664"/>
      <c r="P21" s="1665">
        <f>SUMPRODUCT((地价!A3:A24=YEAR(G19)&amp;"-"&amp;ROUNDUP(MONTH(G19)/3,0))*(地价!AD2:AH2=N21)*(地价!AD3:AH24))</f>
        <v>1.6400000000000001E-2</v>
      </c>
      <c r="R21" s="1462"/>
      <c r="S21" s="1462"/>
      <c r="T21" s="1462"/>
      <c r="U21" s="1462"/>
      <c r="V21" s="1462"/>
      <c r="W21" s="1462"/>
      <c r="X21" s="1462"/>
      <c r="Y21" s="1462"/>
      <c r="Z21" s="1462"/>
      <c r="AA21" s="1462"/>
      <c r="AB21" s="1462"/>
      <c r="AC21" s="1462"/>
      <c r="AD21" s="1462"/>
      <c r="AE21" s="2582"/>
      <c r="AF21" s="2582"/>
    </row>
    <row r="22" spans="1:37" s="2527" customFormat="1" ht="14.25">
      <c r="A22" s="2602">
        <v>1</v>
      </c>
      <c r="B22" s="2603" t="s">
        <v>2703</v>
      </c>
      <c r="C22" s="1899" t="s">
        <v>2704</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2705</v>
      </c>
      <c r="O22" s="1664"/>
      <c r="P22" s="1665">
        <f>SUMPRODUCT((地价!A3:A24=YEAR(G19)&amp;"-"&amp;ROUNDUP(MONTH(G19)/3,0))*(地价!AD2:AH2=N22)*(地价!AD3:AH24))</f>
        <v>1.6400000000000001E-2</v>
      </c>
      <c r="R22" s="1462"/>
      <c r="S22" s="1462"/>
      <c r="T22" s="1462"/>
      <c r="U22" s="1462"/>
      <c r="V22" s="1462"/>
      <c r="W22" s="1462"/>
      <c r="X22" s="1462"/>
      <c r="Y22" s="1462"/>
      <c r="Z22" s="1462"/>
      <c r="AA22" s="1462"/>
      <c r="AB22" s="1462"/>
      <c r="AC22" s="1462"/>
      <c r="AD22" s="1462"/>
      <c r="AE22" s="2582"/>
      <c r="AF22" s="2582"/>
    </row>
    <row r="23" spans="1:37" ht="27">
      <c r="A23" s="2602">
        <v>2</v>
      </c>
      <c r="B23" s="2603" t="s">
        <v>2706</v>
      </c>
      <c r="C23" s="958">
        <f>ROUND(IF(G3&gt;1,IF(I3&lt;7,SUMPRODUCT((B93:B98=I3)*(C92:N92=G2)*(C93:N98)),SUMIF(C92:N92,G2,C100:N100)),IF(I3&lt;7,SUMPRODUCT((B102:B107=I3)*(C92:N92=G2)*(C102:N107)),SUMIF(C92:N92,G2,C109:N109))),4)</f>
        <v>0.86560000000000004</v>
      </c>
      <c r="D23" s="2564"/>
      <c r="E23" s="2564"/>
      <c r="F23" s="2604"/>
      <c r="G23" s="2605"/>
      <c r="H23" s="2606"/>
      <c r="I23" s="2607"/>
      <c r="J23" s="2608"/>
      <c r="N23" s="2601" t="s">
        <v>2707</v>
      </c>
      <c r="O23" s="1664"/>
      <c r="P23" s="1665">
        <f>SUMPRODUCT((地价!A3:A24=YEAR(G19)&amp;"-"&amp;ROUNDUP(MONTH(G19)/3,0))*(地价!AD2:AH2=N23)*(地价!AD3:AH24))</f>
        <v>2.7799999999999998E-2</v>
      </c>
      <c r="R23" s="1462"/>
      <c r="S23" s="1462"/>
      <c r="T23" s="1462"/>
      <c r="U23" s="1462"/>
      <c r="V23" s="1462"/>
      <c r="W23" s="1462"/>
      <c r="X23" s="1462"/>
      <c r="Y23" s="1462"/>
      <c r="Z23" s="1462"/>
      <c r="AA23" s="1462"/>
      <c r="AB23" s="1462"/>
      <c r="AC23" s="1462"/>
      <c r="AD23" s="1462"/>
      <c r="AE23" s="1463"/>
      <c r="AF23" s="1463"/>
      <c r="AK23" s="2583"/>
    </row>
    <row r="24" spans="1:37" s="2527" customFormat="1" ht="15.75" thickBot="1">
      <c r="A24" s="2609" t="s">
        <v>2708</v>
      </c>
      <c r="B24" s="2610" t="s">
        <v>2709</v>
      </c>
      <c r="C24" s="968">
        <f>SUMIF(A46:A88,E2,B46:B88)</f>
        <v>1.046</v>
      </c>
      <c r="D24" s="2611"/>
      <c r="E24" s="2612"/>
      <c r="F24" s="2612"/>
      <c r="G24" s="2612"/>
      <c r="H24" s="2612"/>
      <c r="I24" s="2612"/>
      <c r="J24" s="2613"/>
      <c r="K24" s="2582"/>
      <c r="N24" s="2614" t="s">
        <v>2710</v>
      </c>
      <c r="O24" s="1666"/>
      <c r="P24" s="1667">
        <f>SUMPRODUCT((地价!A3:A24=YEAR(G19)&amp;"-"&amp;ROUNDUP(MONTH(G19)/3,0))*(地价!AD2:AH2=N24)*(地价!AD3:AH24))</f>
        <v>1.3899999999999999E-2</v>
      </c>
      <c r="R24" s="1462"/>
      <c r="S24" s="1462"/>
      <c r="T24" s="1462"/>
      <c r="U24" s="1462"/>
      <c r="V24" s="1462"/>
      <c r="W24" s="1462"/>
      <c r="X24" s="1462"/>
      <c r="Y24" s="1462"/>
      <c r="Z24" s="1462"/>
      <c r="AA24" s="1462"/>
      <c r="AB24" s="1462"/>
      <c r="AC24" s="1462"/>
      <c r="AD24" s="1462"/>
      <c r="AE24" s="2582"/>
      <c r="AF24" s="2582"/>
    </row>
    <row r="25" spans="1:37" ht="15" thickBot="1">
      <c r="A25" s="2590" t="s">
        <v>2711</v>
      </c>
      <c r="B25" s="2615" t="s">
        <v>2712</v>
      </c>
      <c r="C25" s="959"/>
      <c r="D25" s="2538"/>
      <c r="E25" s="2538"/>
      <c r="F25" s="2616"/>
      <c r="G25" s="2538"/>
      <c r="H25" s="2538"/>
      <c r="I25" s="2538"/>
      <c r="J25" s="2539"/>
      <c r="L25" s="1462"/>
      <c r="M25" s="1462"/>
      <c r="N25" s="2617" t="s">
        <v>2713</v>
      </c>
      <c r="O25" s="1668"/>
      <c r="P25" s="1667">
        <f>SUMPRODUCT((地价!A3:A24=YEAR(G19)&amp;"-"&amp;ROUNDUP(MONTH(G19)/3,0))*(地价!AD2:AH2=N25)*(地价!AD3:AH24))</f>
        <v>2.4899999999999999E-2</v>
      </c>
      <c r="R25" s="1462"/>
      <c r="S25" s="1462"/>
      <c r="T25" s="1462"/>
      <c r="U25" s="1462"/>
      <c r="V25" s="1462"/>
      <c r="W25" s="1462"/>
      <c r="X25" s="1462"/>
      <c r="Y25" s="1462"/>
      <c r="Z25" s="1462"/>
      <c r="AA25" s="1462"/>
      <c r="AB25" s="1462"/>
      <c r="AC25" s="1462"/>
      <c r="AD25" s="1462"/>
      <c r="AE25" s="1463"/>
      <c r="AF25" s="1463"/>
    </row>
    <row r="26" spans="1:37" ht="15">
      <c r="A26" s="2618"/>
      <c r="B26" s="2603" t="s">
        <v>2714</v>
      </c>
      <c r="C26" s="123">
        <f ca="1">E29+SUM(E33:E39)</f>
        <v>12963226</v>
      </c>
      <c r="D26" s="2619"/>
      <c r="E26" s="2564"/>
      <c r="F26" s="2620"/>
      <c r="G26" s="2564"/>
      <c r="H26" s="2564"/>
      <c r="I26" s="2564"/>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2715</v>
      </c>
      <c r="C27" s="960">
        <f ca="1">E30+SUM(I33:I39)</f>
        <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2716</v>
      </c>
      <c r="C28" s="2628" t="s">
        <v>2717</v>
      </c>
      <c r="D28" s="2628" t="s">
        <v>2718</v>
      </c>
      <c r="E28" s="2629" t="s">
        <v>2719</v>
      </c>
      <c r="F28" s="2630"/>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2720</v>
      </c>
      <c r="C29" s="123">
        <f ca="1">ROUND(C5*C18*C19*C20*C21*C24,0)</f>
        <v>18799</v>
      </c>
      <c r="D29" s="2633">
        <f>项目基本情况!C12</f>
        <v>689.57</v>
      </c>
      <c r="E29" s="972">
        <f ca="1">ROUND(C29*D29,0)</f>
        <v>12963226</v>
      </c>
      <c r="F29" s="2634" t="s">
        <v>2721</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7"/>
      <c r="B30" s="2638" t="s">
        <v>2722</v>
      </c>
      <c r="C30" s="150">
        <f ca="1">ROUND(IF(E2="工业",C29*M39,C29*M38),0)</f>
        <v>4700</v>
      </c>
      <c r="D30" s="2639"/>
      <c r="E30" s="972">
        <f ca="1">ROUND(C30*D30,0)</f>
        <v>0</v>
      </c>
      <c r="F30" s="2640" t="s">
        <v>2723</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3"/>
      <c r="B31" s="2644" t="s">
        <v>2724</v>
      </c>
      <c r="C31" s="2645" t="s">
        <v>2725</v>
      </c>
      <c r="D31" s="2551"/>
      <c r="E31" s="2645"/>
      <c r="F31" s="2645"/>
      <c r="G31" s="2549" t="s">
        <v>2726</v>
      </c>
      <c r="H31" s="2551"/>
      <c r="I31" s="2646"/>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1"/>
      <c r="B32" s="2647"/>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76" t="s">
        <v>2728</v>
      </c>
      <c r="B33" s="2648" t="s">
        <v>2729</v>
      </c>
      <c r="C33" s="123">
        <f ca="1">ROUND(D5*C19*C20*C24*F33,0)</f>
        <v>15203</v>
      </c>
      <c r="D33" s="2633"/>
      <c r="E33" s="117">
        <f t="shared" ref="E33:E39" ca="1" si="6">ROUND(C33*D33,0)</f>
        <v>0</v>
      </c>
      <c r="F33" s="117">
        <f>SUMIF(修正!A45:A56,G2,修正!B45:B56)</f>
        <v>0.7</v>
      </c>
      <c r="G33" s="117">
        <f t="shared" ref="G33" ca="1" si="7">ROUND(IF(E2="工业",C33*$M$39,C33*$M$38),0)</f>
        <v>3801</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7"/>
      <c r="B34" s="2555" t="s">
        <v>2730</v>
      </c>
      <c r="C34" s="123">
        <f ca="1">ROUND(D5*C19*C20*C24*F34,0)</f>
        <v>8687</v>
      </c>
      <c r="D34" s="2633"/>
      <c r="E34" s="117">
        <f t="shared" ca="1" si="6"/>
        <v>0</v>
      </c>
      <c r="F34" s="117">
        <f>SUMIF(修正!A45:A56,G2,修正!C45:C56)</f>
        <v>0.4</v>
      </c>
      <c r="G34" s="117">
        <f ca="1">ROUND(IF(E2="工业",C34*$M$39,C34*$M$38),0)</f>
        <v>2172</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7"/>
      <c r="B35" s="2555" t="s">
        <v>2731</v>
      </c>
      <c r="C35" s="123">
        <f ca="1">ROUND(D5*C19*C20*C24*F35,0)</f>
        <v>6081</v>
      </c>
      <c r="D35" s="2633"/>
      <c r="E35" s="117">
        <f t="shared" ca="1" si="6"/>
        <v>0</v>
      </c>
      <c r="F35" s="117">
        <f>SUMIF(修正!A45:A56,G2,修正!D45:D56)</f>
        <v>0.28000000000000003</v>
      </c>
      <c r="G35" s="117">
        <f ca="1">ROUND(IF(E2="工业",C35*$M$39,C35*$M$38),0)</f>
        <v>1520</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8"/>
      <c r="B36" s="2555" t="s">
        <v>2732</v>
      </c>
      <c r="C36" s="123">
        <f ca="1">ROUND(D5*C19*C20*C24*F36,0)</f>
        <v>5430</v>
      </c>
      <c r="D36" s="2633"/>
      <c r="E36" s="117">
        <f t="shared" ca="1" si="6"/>
        <v>0</v>
      </c>
      <c r="F36" s="117">
        <f>SUMIF(修正!A45:A56,G2,修正!E45:E56)</f>
        <v>0.25</v>
      </c>
      <c r="G36" s="117">
        <f ca="1">ROUND(IF(E2="工业",C36*$M$39,C36*$M$38),0)</f>
        <v>1358</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5" t="s">
        <v>2733</v>
      </c>
      <c r="C37" s="117">
        <f ca="1">ROUND(E5*C19*C41*C24*F37,0)</f>
        <v>0</v>
      </c>
      <c r="D37" s="2633"/>
      <c r="E37" s="117">
        <f t="shared" ca="1" si="6"/>
        <v>0</v>
      </c>
      <c r="F37" s="123">
        <f>SUMIF(修正!A45:A56,G2,修正!F45:F56)</f>
        <v>0.25</v>
      </c>
      <c r="G37" s="117">
        <f ca="1">ROUND(IF(E2="工业",C37*$M$39,C37*$M$38),0)</f>
        <v>0</v>
      </c>
      <c r="H37" s="117">
        <f t="shared" si="9"/>
        <v>0</v>
      </c>
      <c r="I37" s="117">
        <f t="shared" ca="1" si="8"/>
        <v>0</v>
      </c>
      <c r="J37" s="2649"/>
      <c r="L37" s="2652" t="s">
        <v>2734</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5" t="s">
        <v>2735</v>
      </c>
      <c r="C38" s="117">
        <f ca="1">ROUND(E5*C19*C41*C24*F38,0)</f>
        <v>0</v>
      </c>
      <c r="D38" s="2633"/>
      <c r="E38" s="117">
        <f t="shared" ca="1" si="6"/>
        <v>0</v>
      </c>
      <c r="F38" s="123">
        <f>SUMIF(修正!A45:A56,G2,修正!G45:G56)</f>
        <v>0.25</v>
      </c>
      <c r="G38" s="117">
        <f ca="1">ROUND(IF(E2="工业",C38*$M$39,C38*$M$38),0)</f>
        <v>0</v>
      </c>
      <c r="H38" s="117">
        <f t="shared" si="9"/>
        <v>0</v>
      </c>
      <c r="I38" s="117">
        <f t="shared" ca="1" si="8"/>
        <v>0</v>
      </c>
      <c r="J38" s="2649"/>
      <c r="L38" s="2653" t="s">
        <v>2736</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2737</v>
      </c>
      <c r="C39" s="150">
        <f ca="1">ROUND(E5*C19*C41*C24*F39,0)</f>
        <v>0</v>
      </c>
      <c r="D39" s="2639"/>
      <c r="E39" s="150">
        <f t="shared" ca="1" si="6"/>
        <v>0</v>
      </c>
      <c r="F39" s="961">
        <f>SUMIF(修正!A45:A56,G2,修正!H45:H56)</f>
        <v>0.2</v>
      </c>
      <c r="G39" s="150">
        <f ca="1">ROUND(IF(E2="工业",C39*$M$39,C39*$M$38),0)</f>
        <v>0</v>
      </c>
      <c r="H39" s="150">
        <f t="shared" si="9"/>
        <v>0</v>
      </c>
      <c r="I39" s="150">
        <f t="shared" ca="1" si="8"/>
        <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ht="24">
      <c r="A41" s="1463"/>
      <c r="B41" s="2735" t="s">
        <v>2819</v>
      </c>
      <c r="C41" s="367">
        <f ca="1">ROUND(POWER(1+E41,H41-G41)*(POWER(1+E41,G41)-1)/(POWER(1+E41,H41)-1),4)</f>
        <v>0</v>
      </c>
      <c r="D41" s="117" t="s">
        <v>2820</v>
      </c>
      <c r="E41" s="827">
        <f ca="1">G20</f>
        <v>5.3999999999999999E-2</v>
      </c>
      <c r="F41" s="117" t="s">
        <v>2821</v>
      </c>
      <c r="G41" s="137"/>
      <c r="H41" s="117">
        <v>50</v>
      </c>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2738</v>
      </c>
      <c r="B45" s="2663"/>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2739</v>
      </c>
      <c r="B46" s="2665">
        <f>1+E48</f>
        <v>1.046</v>
      </c>
      <c r="C46" s="2666"/>
      <c r="D46" s="817"/>
      <c r="E46" s="818"/>
      <c r="F46" s="2667"/>
      <c r="G46" s="7"/>
      <c r="H46" s="9"/>
      <c r="I46" s="9"/>
      <c r="J46" s="9"/>
      <c r="K46" s="9"/>
      <c r="L46" s="9"/>
      <c r="M46" s="2506"/>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2740</v>
      </c>
      <c r="B47" s="823" t="s">
        <v>2741</v>
      </c>
      <c r="C47" s="823" t="s">
        <v>2742</v>
      </c>
      <c r="D47" s="823" t="s">
        <v>2743</v>
      </c>
      <c r="E47" s="824" t="s">
        <v>2744</v>
      </c>
      <c r="F47" s="2670" t="s">
        <v>2745</v>
      </c>
      <c r="G47" s="823" t="s">
        <v>2746</v>
      </c>
      <c r="H47" s="2671"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2754</v>
      </c>
      <c r="B48" s="2672" t="str">
        <f>估价对象房地状况!C16</f>
        <v>估价对象位于XX商圈，周边商业氛围成熟，人流量大，商业繁华度好</v>
      </c>
      <c r="C48" s="2561" t="s">
        <v>30</v>
      </c>
      <c r="D48" s="1376">
        <f t="shared" ref="D48:D56" si="10">SUMIF($J$47:$N$47,C48,J48:N48)</f>
        <v>1.6500000000000001E-2</v>
      </c>
      <c r="E48" s="829">
        <f>ROUND(SUM(D48:D56),4)</f>
        <v>4.5999999999999999E-2</v>
      </c>
      <c r="F48" s="2278">
        <f>IF(E2="商业",SUMIF(L1:L12,G2,N1:N12),"——")</f>
        <v>0.1</v>
      </c>
      <c r="G48" s="1377">
        <v>1.6500000000000001E-2</v>
      </c>
      <c r="H48" s="1381">
        <f t="shared" ref="H48:H56" si="11">IFERROR(ROUNDDOWN($F$48*I48/2,4),"——")</f>
        <v>1.6500000000000001E-2</v>
      </c>
      <c r="I48" s="828">
        <v>0.33</v>
      </c>
      <c r="J48" s="1378">
        <f t="shared" ref="J48:J56" si="12">K48+$G48</f>
        <v>3.3000000000000002E-2</v>
      </c>
      <c r="K48" s="1378">
        <f t="shared" ref="K48:K56" si="13">$L48+$G48</f>
        <v>1.6500000000000001E-2</v>
      </c>
      <c r="L48" s="1378">
        <v>0</v>
      </c>
      <c r="M48" s="1378">
        <f t="shared" ref="M48:N56" si="14">L48-$G48</f>
        <v>-1.6500000000000001E-2</v>
      </c>
      <c r="N48" s="1378">
        <f t="shared" si="14"/>
        <v>-3.3000000000000002E-2</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2755</v>
      </c>
      <c r="B49" s="2673" t="str">
        <f>估价对象房地状况!C18</f>
        <v>估价对象周边道路状况、公共交通通达情况、停车便捷程度，综合评价交通便捷度较好</v>
      </c>
      <c r="C49" s="2561" t="s">
        <v>30</v>
      </c>
      <c r="D49" s="1376">
        <f t="shared" si="10"/>
        <v>1.2500000000000001E-2</v>
      </c>
      <c r="E49" s="832"/>
      <c r="F49" s="2278"/>
      <c r="G49" s="1377">
        <v>1.2500000000000001E-2</v>
      </c>
      <c r="H49" s="1381">
        <f t="shared" si="11"/>
        <v>1.2500000000000001E-2</v>
      </c>
      <c r="I49" s="828">
        <v>0.25</v>
      </c>
      <c r="J49" s="1378">
        <f t="shared" si="12"/>
        <v>2.5000000000000001E-2</v>
      </c>
      <c r="K49" s="1378">
        <f t="shared" si="13"/>
        <v>1.2500000000000001E-2</v>
      </c>
      <c r="L49" s="1378">
        <v>0</v>
      </c>
      <c r="M49" s="1378">
        <f t="shared" si="14"/>
        <v>-1.2500000000000001E-2</v>
      </c>
      <c r="N49" s="1378">
        <f t="shared" si="14"/>
        <v>-2.5000000000000001E-2</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2756</v>
      </c>
      <c r="B50" s="2673">
        <f>估价对象房地状况!C19</f>
        <v>0</v>
      </c>
      <c r="C50" s="2561" t="s">
        <v>30</v>
      </c>
      <c r="D50" s="1376">
        <f t="shared" si="10"/>
        <v>2.5000000000000001E-3</v>
      </c>
      <c r="E50" s="832"/>
      <c r="F50" s="2278"/>
      <c r="G50" s="1377">
        <v>2.5000000000000001E-3</v>
      </c>
      <c r="H50" s="1381">
        <f t="shared" si="11"/>
        <v>2.5000000000000001E-3</v>
      </c>
      <c r="I50" s="828">
        <v>0.05</v>
      </c>
      <c r="J50" s="1378">
        <f t="shared" si="12"/>
        <v>5.0000000000000001E-3</v>
      </c>
      <c r="K50" s="1378">
        <f t="shared" si="13"/>
        <v>2.5000000000000001E-3</v>
      </c>
      <c r="L50" s="1378">
        <v>0</v>
      </c>
      <c r="M50" s="1378">
        <f t="shared" si="14"/>
        <v>-2.5000000000000001E-3</v>
      </c>
      <c r="N50" s="1378">
        <f t="shared" si="14"/>
        <v>-5.0000000000000001E-3</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2757</v>
      </c>
      <c r="B51" s="2674" t="s">
        <v>2758</v>
      </c>
      <c r="C51" s="2561" t="s">
        <v>30</v>
      </c>
      <c r="D51" s="1376">
        <f t="shared" si="10"/>
        <v>2.5000000000000001E-3</v>
      </c>
      <c r="E51" s="832"/>
      <c r="F51" s="2278"/>
      <c r="G51" s="1377">
        <v>2.5000000000000001E-3</v>
      </c>
      <c r="H51" s="1381">
        <f t="shared" si="11"/>
        <v>2.5000000000000001E-3</v>
      </c>
      <c r="I51" s="828">
        <v>0.05</v>
      </c>
      <c r="J51" s="1378">
        <f t="shared" si="12"/>
        <v>5.0000000000000001E-3</v>
      </c>
      <c r="K51" s="1378">
        <f t="shared" si="13"/>
        <v>2.5000000000000001E-3</v>
      </c>
      <c r="L51" s="1378">
        <v>0</v>
      </c>
      <c r="M51" s="1378">
        <f t="shared" si="14"/>
        <v>-2.5000000000000001E-3</v>
      </c>
      <c r="N51" s="1378">
        <f t="shared" si="14"/>
        <v>-5.0000000000000001E-3</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2759</v>
      </c>
      <c r="B52" s="2673">
        <f>估价对象房地状况!C24</f>
        <v>0</v>
      </c>
      <c r="C52" s="2561" t="s">
        <v>31</v>
      </c>
      <c r="D52" s="1376">
        <f t="shared" si="10"/>
        <v>0</v>
      </c>
      <c r="E52" s="832"/>
      <c r="F52" s="2278"/>
      <c r="G52" s="1377">
        <v>4.0000000000000001E-3</v>
      </c>
      <c r="H52" s="1381">
        <f t="shared" si="11"/>
        <v>4.0000000000000001E-3</v>
      </c>
      <c r="I52" s="828">
        <v>0.08</v>
      </c>
      <c r="J52" s="1378">
        <f t="shared" si="12"/>
        <v>8.0000000000000002E-3</v>
      </c>
      <c r="K52" s="1378">
        <f t="shared" si="13"/>
        <v>4.0000000000000001E-3</v>
      </c>
      <c r="L52" s="1378">
        <v>0</v>
      </c>
      <c r="M52" s="1378">
        <f t="shared" si="14"/>
        <v>-4.0000000000000001E-3</v>
      </c>
      <c r="N52" s="1378">
        <f t="shared" si="14"/>
        <v>-8.0000000000000002E-3</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2760</v>
      </c>
      <c r="B53" s="2675" t="s">
        <v>2761</v>
      </c>
      <c r="C53" s="2561" t="s">
        <v>30</v>
      </c>
      <c r="D53" s="1376">
        <f t="shared" si="10"/>
        <v>1.5E-3</v>
      </c>
      <c r="E53" s="832"/>
      <c r="F53" s="2278"/>
      <c r="G53" s="1377">
        <v>1.5E-3</v>
      </c>
      <c r="H53" s="1381">
        <f t="shared" si="11"/>
        <v>1.5E-3</v>
      </c>
      <c r="I53" s="828">
        <v>0.03</v>
      </c>
      <c r="J53" s="1378">
        <f t="shared" si="12"/>
        <v>3.0000000000000001E-3</v>
      </c>
      <c r="K53" s="1378">
        <f t="shared" si="13"/>
        <v>1.5E-3</v>
      </c>
      <c r="L53" s="1378">
        <v>0</v>
      </c>
      <c r="M53" s="1378">
        <f t="shared" si="14"/>
        <v>-1.5E-3</v>
      </c>
      <c r="N53" s="1378">
        <f t="shared" si="14"/>
        <v>-3.0000000000000001E-3</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2762</v>
      </c>
      <c r="B54" s="2677" t="str">
        <f>估价对象房地状况!C21</f>
        <v>估价对象所在区域公共配套设施齐备情况</v>
      </c>
      <c r="C54" s="2561" t="s">
        <v>30</v>
      </c>
      <c r="D54" s="1376">
        <f t="shared" si="10"/>
        <v>2.5000000000000001E-3</v>
      </c>
      <c r="E54" s="832"/>
      <c r="F54" s="2278"/>
      <c r="G54" s="1377">
        <v>2.5000000000000001E-3</v>
      </c>
      <c r="H54" s="1381">
        <f t="shared" si="11"/>
        <v>2.5000000000000001E-3</v>
      </c>
      <c r="I54" s="828">
        <v>0.05</v>
      </c>
      <c r="J54" s="1378">
        <f t="shared" si="12"/>
        <v>5.0000000000000001E-3</v>
      </c>
      <c r="K54" s="1378">
        <f t="shared" si="13"/>
        <v>2.5000000000000001E-3</v>
      </c>
      <c r="L54" s="1378">
        <v>0</v>
      </c>
      <c r="M54" s="1378">
        <f t="shared" si="14"/>
        <v>-2.5000000000000001E-3</v>
      </c>
      <c r="N54" s="1378">
        <f t="shared" si="14"/>
        <v>-5.0000000000000001E-3</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2763</v>
      </c>
      <c r="B55" s="2673" t="str">
        <f>估价对象房地状况!C22</f>
        <v>估价对象所在区域基础设施水平</v>
      </c>
      <c r="C55" s="2561" t="s">
        <v>30</v>
      </c>
      <c r="D55" s="1376">
        <f t="shared" si="10"/>
        <v>5.0000000000000001E-3</v>
      </c>
      <c r="E55" s="832"/>
      <c r="F55" s="2278"/>
      <c r="G55" s="1377">
        <v>5.0000000000000001E-3</v>
      </c>
      <c r="H55" s="1381">
        <f t="shared" si="11"/>
        <v>5.0000000000000001E-3</v>
      </c>
      <c r="I55" s="828">
        <v>0.1</v>
      </c>
      <c r="J55" s="1378">
        <f t="shared" si="12"/>
        <v>0.01</v>
      </c>
      <c r="K55" s="1378">
        <f t="shared" si="13"/>
        <v>5.0000000000000001E-3</v>
      </c>
      <c r="L55" s="1378">
        <v>0</v>
      </c>
      <c r="M55" s="1378">
        <f t="shared" si="14"/>
        <v>-5.0000000000000001E-3</v>
      </c>
      <c r="N55" s="1378">
        <f t="shared" si="14"/>
        <v>-0.01</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2764</v>
      </c>
      <c r="B56" s="2679" t="str">
        <f>估价对象房地状况!C20</f>
        <v>区域自然环境：；人文环境；综合评价环境状况一般</v>
      </c>
      <c r="C56" s="2561" t="s">
        <v>30</v>
      </c>
      <c r="D56" s="1376">
        <f t="shared" si="10"/>
        <v>3.0000000000000001E-3</v>
      </c>
      <c r="E56" s="838"/>
      <c r="F56" s="2278"/>
      <c r="G56" s="1377">
        <v>3.0000000000000001E-3</v>
      </c>
      <c r="H56" s="1381">
        <f t="shared" si="11"/>
        <v>3.0000000000000001E-3</v>
      </c>
      <c r="I56" s="837">
        <v>0.06</v>
      </c>
      <c r="J56" s="1378">
        <f t="shared" si="12"/>
        <v>6.0000000000000001E-3</v>
      </c>
      <c r="K56" s="1378">
        <f t="shared" si="13"/>
        <v>3.0000000000000001E-3</v>
      </c>
      <c r="L56" s="1378">
        <v>0</v>
      </c>
      <c r="M56" s="1378">
        <f t="shared" si="14"/>
        <v>-3.0000000000000001E-3</v>
      </c>
      <c r="N56" s="1378">
        <f t="shared" si="14"/>
        <v>-6.0000000000000001E-3</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2765</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2740</v>
      </c>
      <c r="B58" s="2673"/>
      <c r="C58" s="823" t="s">
        <v>2742</v>
      </c>
      <c r="D58" s="823" t="s">
        <v>2743</v>
      </c>
      <c r="E58" s="824" t="s">
        <v>2744</v>
      </c>
      <c r="F58" s="2670" t="s">
        <v>2745</v>
      </c>
      <c r="G58" s="823" t="s">
        <v>2766</v>
      </c>
      <c r="H58" s="2671" t="s">
        <v>2767</v>
      </c>
      <c r="I58" s="823" t="s">
        <v>2768</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2769</v>
      </c>
      <c r="B59" s="2672" t="str">
        <f>估价对象房地状况!C17</f>
        <v>估价对象位于XX商圈，周边办公楼项目较多，入驻率高，办公集聚程度较好</v>
      </c>
      <c r="C59" s="2561"/>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2755</v>
      </c>
      <c r="B60" s="2673" t="str">
        <f>估价对象房地状况!C18</f>
        <v>估价对象周边道路状况、公共交通通达情况、停车便捷程度，综合评价交通便捷度较好</v>
      </c>
      <c r="C60" s="2561"/>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2756</v>
      </c>
      <c r="B61" s="2673">
        <f>估价对象房地状况!C19</f>
        <v>0</v>
      </c>
      <c r="C61" s="2561"/>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2757</v>
      </c>
      <c r="B62" s="2674" t="s">
        <v>2758</v>
      </c>
      <c r="C62" s="2561"/>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2759</v>
      </c>
      <c r="B63" s="2673">
        <f>估价对象房地状况!C24</f>
        <v>0</v>
      </c>
      <c r="C63" s="2561"/>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2760</v>
      </c>
      <c r="B64" s="2675" t="s">
        <v>2761</v>
      </c>
      <c r="C64" s="2561"/>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2762</v>
      </c>
      <c r="B65" s="2677" t="str">
        <f>估价对象房地状况!C21</f>
        <v>估价对象所在区域公共配套设施齐备情况</v>
      </c>
      <c r="C65" s="2561"/>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2763</v>
      </c>
      <c r="B66" s="2677" t="str">
        <f>估价对象房地状况!C22</f>
        <v>估价对象所在区域基础设施水平</v>
      </c>
      <c r="C66" s="2561"/>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2764</v>
      </c>
      <c r="B67" s="2681" t="str">
        <f>估价对象房地状况!C20</f>
        <v>区域自然环境：；人文环境；综合评价环境状况一般</v>
      </c>
      <c r="C67" s="2561"/>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2770</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2740</v>
      </c>
      <c r="B69" s="2673"/>
      <c r="C69" s="823" t="s">
        <v>2742</v>
      </c>
      <c r="D69" s="823" t="s">
        <v>2743</v>
      </c>
      <c r="E69" s="824" t="s">
        <v>2744</v>
      </c>
      <c r="F69" s="2670" t="s">
        <v>2745</v>
      </c>
      <c r="G69" s="823" t="s">
        <v>2766</v>
      </c>
      <c r="H69" s="2671" t="s">
        <v>2767</v>
      </c>
      <c r="I69" s="823" t="s">
        <v>2768</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2771</v>
      </c>
      <c r="B70" s="2672"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2755</v>
      </c>
      <c r="B71" s="2673" t="str">
        <f>估价对象房地状况!C18</f>
        <v>估价对象周边道路状况、公共交通通达情况、停车便捷程度，综合评价交通便捷度较好</v>
      </c>
      <c r="C71" s="2561"/>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2756</v>
      </c>
      <c r="B72" s="2673">
        <f>估价对象房地状况!C19</f>
        <v>0</v>
      </c>
      <c r="C72" s="2561"/>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2772</v>
      </c>
      <c r="B73" s="2673">
        <f>估价对象房地状况!C24</f>
        <v>0</v>
      </c>
      <c r="C73" s="2561"/>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2762</v>
      </c>
      <c r="B74" s="2677" t="str">
        <f>估价对象房地状况!C21</f>
        <v>估价对象所在区域公共配套设施齐备情况</v>
      </c>
      <c r="C74" s="2561"/>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2763</v>
      </c>
      <c r="B75" s="2677" t="str">
        <f>估价对象房地状况!C22</f>
        <v>估价对象所在区域基础设施水平</v>
      </c>
      <c r="C75" s="2561"/>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2760</v>
      </c>
      <c r="B76" s="2675" t="s">
        <v>2761</v>
      </c>
      <c r="C76" s="2561"/>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8"/>
      <c r="AA76" s="2583"/>
      <c r="AG76" s="2659"/>
      <c r="AK76" s="2583"/>
    </row>
    <row r="77" spans="1:37" ht="38.25">
      <c r="A77" s="2669" t="s">
        <v>2764</v>
      </c>
      <c r="B77" s="2672" t="str">
        <f>估价对象房地状况!C20</f>
        <v>区域自然环境：；人文环境；综合评价环境状况一般</v>
      </c>
      <c r="C77" s="2561"/>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8"/>
      <c r="AA77" s="2583"/>
      <c r="AG77" s="2659"/>
      <c r="AK77" s="2583"/>
    </row>
    <row r="78" spans="1:37" ht="24.75" thickBot="1">
      <c r="A78" s="2678" t="s">
        <v>2773</v>
      </c>
      <c r="B78" s="2683"/>
      <c r="C78" s="2561"/>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8"/>
      <c r="AA78" s="2583"/>
      <c r="AG78" s="2659"/>
      <c r="AK78" s="2583"/>
    </row>
    <row r="79" spans="1:37" ht="15">
      <c r="A79" s="2664" t="s">
        <v>2774</v>
      </c>
      <c r="B79" s="2680">
        <f>1+E81</f>
        <v>1</v>
      </c>
      <c r="C79" s="817"/>
      <c r="D79" s="817"/>
      <c r="E79" s="818"/>
      <c r="F79" s="2667"/>
      <c r="G79" s="7"/>
      <c r="H79" s="7"/>
      <c r="I79" s="7"/>
      <c r="J79" s="9"/>
      <c r="K79" s="9"/>
      <c r="L79" s="9"/>
      <c r="M79" s="9"/>
      <c r="N79" s="9"/>
      <c r="Z79" s="2508"/>
      <c r="AA79" s="2583"/>
      <c r="AG79" s="2659"/>
      <c r="AK79" s="2583"/>
    </row>
    <row r="80" spans="1:37" ht="24.75">
      <c r="A80" s="2669" t="s">
        <v>2740</v>
      </c>
      <c r="B80" s="2673"/>
      <c r="C80" s="823" t="s">
        <v>2742</v>
      </c>
      <c r="D80" s="823" t="s">
        <v>2743</v>
      </c>
      <c r="E80" s="824" t="s">
        <v>2744</v>
      </c>
      <c r="F80" s="2670" t="s">
        <v>2745</v>
      </c>
      <c r="G80" s="823" t="s">
        <v>2766</v>
      </c>
      <c r="H80" s="2671" t="s">
        <v>2767</v>
      </c>
      <c r="I80" s="823" t="s">
        <v>2768</v>
      </c>
      <c r="J80" s="587" t="s">
        <v>2402</v>
      </c>
      <c r="K80" s="587" t="s">
        <v>2403</v>
      </c>
      <c r="L80" s="587" t="s">
        <v>2404</v>
      </c>
      <c r="M80" s="587" t="s">
        <v>2405</v>
      </c>
      <c r="N80" s="587" t="s">
        <v>2406</v>
      </c>
      <c r="Z80" s="2508"/>
      <c r="AA80" s="2583"/>
      <c r="AG80" s="2659"/>
      <c r="AK80" s="2583"/>
    </row>
    <row r="81" spans="1:37" ht="38.25">
      <c r="A81" s="2669" t="s">
        <v>2775</v>
      </c>
      <c r="B81" s="2673"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3"/>
      <c r="AG81" s="2659"/>
      <c r="AK81" s="2583"/>
    </row>
    <row r="82" spans="1:37" ht="51">
      <c r="A82" s="2669" t="s">
        <v>2755</v>
      </c>
      <c r="B82" s="2673" t="str">
        <f>估价对象房地状况!G16</f>
        <v>估价对象周边道路状况、公共交通通达情况、停车便捷程度，综合评价交通便捷度较好</v>
      </c>
      <c r="C82" s="2561"/>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8"/>
      <c r="AA82" s="2583"/>
      <c r="AG82" s="2659"/>
      <c r="AK82" s="2583"/>
    </row>
    <row r="83" spans="1:37" ht="24">
      <c r="A83" s="2669" t="s">
        <v>2756</v>
      </c>
      <c r="B83" s="2673">
        <f>估价对象房地状况!G17</f>
        <v>0</v>
      </c>
      <c r="C83" s="2561"/>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8"/>
      <c r="AA83" s="2583"/>
      <c r="AG83" s="2659"/>
      <c r="AK83" s="2583"/>
    </row>
    <row r="84" spans="1:37" ht="14.25">
      <c r="A84" s="2669" t="s">
        <v>2772</v>
      </c>
      <c r="B84" s="2673">
        <f>估价对象房地状况!G22</f>
        <v>0</v>
      </c>
      <c r="C84" s="2561"/>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8"/>
      <c r="AA84" s="2583"/>
      <c r="AG84" s="2659"/>
      <c r="AK84" s="2583"/>
    </row>
    <row r="85" spans="1:37" ht="25.5">
      <c r="A85" s="2669" t="s">
        <v>2762</v>
      </c>
      <c r="B85" s="2677" t="str">
        <f>估价对象房地状况!G19</f>
        <v>估价对象所在区域公共配套设施齐备情况</v>
      </c>
      <c r="C85" s="2561"/>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8"/>
      <c r="AA85" s="2583"/>
      <c r="AG85" s="2659"/>
      <c r="AK85" s="2583"/>
    </row>
    <row r="86" spans="1:37" ht="25.5">
      <c r="A86" s="2669" t="s">
        <v>2763</v>
      </c>
      <c r="B86" s="2677" t="str">
        <f>估价对象房地状况!G20</f>
        <v>估价对象所在区域基础设施水平</v>
      </c>
      <c r="C86" s="2561"/>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8"/>
      <c r="AA86" s="2583"/>
      <c r="AG86" s="2659"/>
      <c r="AK86" s="2583"/>
    </row>
    <row r="87" spans="1:37" ht="24">
      <c r="A87" s="2669" t="s">
        <v>2760</v>
      </c>
      <c r="B87" s="2675" t="s">
        <v>2761</v>
      </c>
      <c r="C87" s="2561"/>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8"/>
      <c r="AA87" s="2583"/>
      <c r="AG87" s="2659"/>
      <c r="AK87" s="2583"/>
    </row>
    <row r="88" spans="1:37" ht="39" thickBot="1">
      <c r="A88" s="2678" t="s">
        <v>2776</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8"/>
      <c r="AA88" s="2583"/>
      <c r="AG88" s="2659"/>
      <c r="AK88" s="2583"/>
    </row>
    <row r="90" spans="1:37">
      <c r="A90" s="3068" t="s">
        <v>2777</v>
      </c>
      <c r="B90" s="3068"/>
      <c r="C90" s="3068"/>
      <c r="D90" s="3068"/>
      <c r="E90" s="3068"/>
      <c r="F90" s="3068"/>
      <c r="G90" s="3068"/>
      <c r="H90" s="3068"/>
      <c r="I90" s="3068"/>
      <c r="J90" s="3068"/>
      <c r="K90" s="2686"/>
      <c r="L90" s="2686"/>
      <c r="M90" s="2686"/>
      <c r="N90" s="2686"/>
    </row>
    <row r="91" spans="1:37">
      <c r="A91" s="3070" t="s">
        <v>2778</v>
      </c>
      <c r="B91" s="3070" t="s">
        <v>2779</v>
      </c>
      <c r="C91" s="2634" t="s">
        <v>2780</v>
      </c>
      <c r="D91" s="2635"/>
      <c r="E91" s="2635"/>
      <c r="F91" s="2635"/>
      <c r="G91" s="2635"/>
      <c r="H91" s="2635"/>
      <c r="I91" s="2635"/>
      <c r="J91" s="2687"/>
      <c r="K91" s="2688"/>
      <c r="L91" s="2688"/>
      <c r="M91" s="2688"/>
      <c r="N91" s="2688"/>
    </row>
    <row r="92" spans="1:37">
      <c r="A92" s="3070"/>
      <c r="B92" s="307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1" t="s">
        <v>2781</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2"/>
      <c r="B99" s="2689" t="s">
        <v>2649</v>
      </c>
      <c r="C99" s="2691">
        <f>$I$3</f>
        <v>4</v>
      </c>
      <c r="D99" s="2691">
        <f t="shared" ref="D99:M99" si="30">$I$3</f>
        <v>4</v>
      </c>
      <c r="E99" s="2691">
        <f t="shared" si="30"/>
        <v>4</v>
      </c>
      <c r="F99" s="2691">
        <f t="shared" si="30"/>
        <v>4</v>
      </c>
      <c r="G99" s="2691">
        <f t="shared" si="30"/>
        <v>4</v>
      </c>
      <c r="H99" s="2691">
        <f t="shared" si="30"/>
        <v>4</v>
      </c>
      <c r="I99" s="2691">
        <f t="shared" si="30"/>
        <v>4</v>
      </c>
      <c r="J99" s="2691">
        <f t="shared" si="30"/>
        <v>4</v>
      </c>
      <c r="K99" s="2691">
        <f t="shared" si="30"/>
        <v>4</v>
      </c>
      <c r="L99" s="2691">
        <f t="shared" si="30"/>
        <v>4</v>
      </c>
      <c r="M99" s="2691">
        <f t="shared" si="30"/>
        <v>4</v>
      </c>
      <c r="N99" s="2691">
        <f>$I$3</f>
        <v>4</v>
      </c>
    </row>
    <row r="100" spans="1:14">
      <c r="A100" s="3073"/>
      <c r="B100" s="2689">
        <v>7</v>
      </c>
      <c r="C100" s="2692">
        <f>(-0.163*(C99^2)-0.59*C99+7617)*(10^(-4))</f>
        <v>0.76120320000000008</v>
      </c>
      <c r="D100" s="2692">
        <f>(-0.163*(D99^2)-0.59*D99+7617)*(10^(-4))</f>
        <v>0.76120320000000008</v>
      </c>
      <c r="E100" s="2692">
        <f>(-0.161*(E99^2)-7.509*E99+6533)*(10^(-4))</f>
        <v>0.65003880000000003</v>
      </c>
      <c r="F100" s="2692">
        <f>(-0.161*(F99^2)-7.509*F99+6533)*(10^(-4))</f>
        <v>0.65003880000000003</v>
      </c>
      <c r="G100" s="2692">
        <f>(-0.161*(G99^2)-7.509*G99+6533)*(10^(-4))</f>
        <v>0.65003880000000003</v>
      </c>
      <c r="H100" s="2692">
        <f>(-0.161*(H99^2)-7.509*H99+6533)*(10^(-4))</f>
        <v>0.65003880000000003</v>
      </c>
      <c r="I100" s="2692">
        <f>(-0.161*(I99^2)-7.509*I99+6533)*(10^(-4))</f>
        <v>0.65003880000000003</v>
      </c>
      <c r="J100" s="2692">
        <f>(-0.214*(J99^2)-21.991*J99+4665)*(10^(-4))</f>
        <v>0.45736120000000002</v>
      </c>
      <c r="K100" s="2692">
        <f>(-0.214*(K99^2)-21.991*K99+4665)*(10^(-4))</f>
        <v>0.45736120000000002</v>
      </c>
      <c r="L100" s="2692">
        <f>(-0.214*(L99^2)-21.991*L99+4665)*(10^(-4))</f>
        <v>0.45736120000000002</v>
      </c>
      <c r="M100" s="2692">
        <f>(-0.214*(M99^2)-21.991*M99+4665)*(10^(-4))</f>
        <v>0.45736120000000002</v>
      </c>
      <c r="N100" s="2692">
        <f>(-0.214*(N99^2)-21.991*N99+4665)*(10^(-4))</f>
        <v>0.45736120000000002</v>
      </c>
    </row>
    <row r="101" spans="1:14">
      <c r="A101" s="3071" t="s">
        <v>2782</v>
      </c>
      <c r="B101" s="2693" t="s">
        <v>2783</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72"/>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72"/>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72"/>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72"/>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72"/>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72"/>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72"/>
      <c r="B108" s="3074" t="s">
        <v>2784</v>
      </c>
      <c r="C108" s="2691">
        <f>C99</f>
        <v>4</v>
      </c>
      <c r="D108" s="2691">
        <f t="shared" ref="D108:N108" si="32">D99</f>
        <v>4</v>
      </c>
      <c r="E108" s="2691">
        <f t="shared" si="32"/>
        <v>4</v>
      </c>
      <c r="F108" s="2691">
        <f t="shared" si="32"/>
        <v>4</v>
      </c>
      <c r="G108" s="2691">
        <f t="shared" si="32"/>
        <v>4</v>
      </c>
      <c r="H108" s="2691">
        <f t="shared" si="32"/>
        <v>4</v>
      </c>
      <c r="I108" s="2691">
        <f t="shared" si="32"/>
        <v>4</v>
      </c>
      <c r="J108" s="2691">
        <f t="shared" si="32"/>
        <v>4</v>
      </c>
      <c r="K108" s="2691">
        <f t="shared" si="32"/>
        <v>4</v>
      </c>
      <c r="L108" s="2691">
        <f t="shared" si="32"/>
        <v>4</v>
      </c>
      <c r="M108" s="2691">
        <f t="shared" si="32"/>
        <v>4</v>
      </c>
      <c r="N108" s="2691">
        <f t="shared" si="32"/>
        <v>4</v>
      </c>
    </row>
    <row r="109" spans="1:14">
      <c r="A109" s="3073"/>
      <c r="B109" s="3075"/>
      <c r="C109" s="2692">
        <f>(-0.163*(C108^2)-0.59*C108+7617)*(10^(-4))/C101</f>
        <v>0.30448128000000002</v>
      </c>
      <c r="D109" s="2692">
        <f>(-0.163*(D108^2)-0.59*D108+7617)*(10^(-4))/D101</f>
        <v>0.30448128000000002</v>
      </c>
      <c r="E109" s="2692">
        <f>(-0.161*(E108^2)-7.509*E108+6533)*(10^(-4))/E101</f>
        <v>0.26001552</v>
      </c>
      <c r="F109" s="2692">
        <f>(-0.161*(F108^2)-7.509*F108+6533)*(10^(-4))/F101</f>
        <v>0.26001552</v>
      </c>
      <c r="G109" s="2692">
        <f>(-0.161*(G108^2)-7.509*G108+6533)*(10^(-4))/G101</f>
        <v>0.26001552</v>
      </c>
      <c r="H109" s="2692">
        <f>(-0.161*(H108^2)-7.509*H108+6533)*(10^(-4))/H101</f>
        <v>0.26001552</v>
      </c>
      <c r="I109" s="2692">
        <f>(-0.161*(I108^2)-7.509*I108+6533)*(10^(-4))/I101</f>
        <v>0.26001552</v>
      </c>
      <c r="J109" s="2692">
        <f>(-0.214*(J108^2)-21.991*J108+4665)*(10^(-4))/J101</f>
        <v>0.18294448000000002</v>
      </c>
      <c r="K109" s="2692">
        <f>(-0.214*(K108^2)-21.991*K108+4665)*(10^(-4))/K101</f>
        <v>0.18294448000000002</v>
      </c>
      <c r="L109" s="2692">
        <f>(-0.214*(L108^2)-21.991*L108+4665)*(10^(-4))/L101</f>
        <v>0.18294448000000002</v>
      </c>
      <c r="M109" s="2692">
        <f>(-0.214*(M108^2)-21.991*M108+4665)*(10^(-4))/M101</f>
        <v>0.18294448000000002</v>
      </c>
      <c r="N109" s="2692">
        <f>(-0.214*(N108^2)-21.991*N108+4665)*(10^(-4))/N101</f>
        <v>0.18294448000000002</v>
      </c>
    </row>
    <row r="110" spans="1:14">
      <c r="A110" s="3069" t="s">
        <v>2785</v>
      </c>
      <c r="B110" s="3069"/>
      <c r="C110" s="3069"/>
      <c r="D110" s="3069"/>
      <c r="E110" s="3069"/>
      <c r="F110" s="3069"/>
      <c r="G110" s="3069"/>
      <c r="H110" s="3069"/>
      <c r="I110" s="3069"/>
      <c r="J110" s="3069"/>
      <c r="K110" s="2695"/>
      <c r="L110" s="2695"/>
      <c r="M110" s="2695"/>
      <c r="N110" s="2695"/>
    </row>
    <row r="112" spans="1:14" ht="13.5" thickBot="1"/>
    <row r="113" spans="1:13" ht="25.5" thickBot="1">
      <c r="A113" s="928" t="s">
        <v>2786</v>
      </c>
      <c r="B113" s="1379">
        <f>G3</f>
        <v>2.5</v>
      </c>
      <c r="C113" s="929" t="s">
        <v>2787</v>
      </c>
      <c r="D113" s="930">
        <f>SUMPRODUCT((A115:A118=F113)*(B114:M114=H113)*B115:M118)</f>
        <v>0.80589999999999995</v>
      </c>
      <c r="E113" s="2697" t="s">
        <v>2673</v>
      </c>
      <c r="F113" s="2698" t="str">
        <f>E2</f>
        <v>商业</v>
      </c>
      <c r="G113" s="2697" t="s">
        <v>2607</v>
      </c>
      <c r="H113" s="2698" t="str">
        <f>G2</f>
        <v>三级</v>
      </c>
      <c r="I113" s="2697"/>
      <c r="J113" s="2699"/>
      <c r="K113" s="2699"/>
      <c r="L113" s="2699"/>
      <c r="M113" s="2699"/>
    </row>
    <row r="114" spans="1:13">
      <c r="A114" s="933"/>
      <c r="B114" s="2700" t="s">
        <v>2788</v>
      </c>
      <c r="C114" s="2700" t="s">
        <v>2789</v>
      </c>
      <c r="D114" s="2700" t="s">
        <v>2790</v>
      </c>
      <c r="E114" s="2701" t="s">
        <v>2791</v>
      </c>
      <c r="F114" s="2701" t="s">
        <v>2792</v>
      </c>
      <c r="G114" s="2701" t="s">
        <v>2793</v>
      </c>
      <c r="H114" s="2702" t="s">
        <v>2794</v>
      </c>
      <c r="I114" s="2702" t="s">
        <v>2795</v>
      </c>
      <c r="J114" s="2703" t="s">
        <v>2796</v>
      </c>
      <c r="K114" s="2703" t="s">
        <v>2797</v>
      </c>
      <c r="L114" s="2703" t="s">
        <v>2798</v>
      </c>
      <c r="M114" s="2704" t="s">
        <v>2799</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785</v>
      </c>
      <c r="B1" s="3079"/>
    </row>
    <row r="2" spans="1:6" ht="14.25" thickBot="1">
      <c r="A2" s="1095"/>
      <c r="B2" s="1095"/>
    </row>
    <row r="3" spans="1:6" ht="14.25" thickBot="1">
      <c r="A3" s="1095"/>
      <c r="B3" s="1095"/>
      <c r="C3" s="1098" t="s">
        <v>786</v>
      </c>
      <c r="D3" s="1098" t="s">
        <v>787</v>
      </c>
      <c r="E3" s="1098" t="s">
        <v>788</v>
      </c>
      <c r="F3" s="1098" t="s">
        <v>789</v>
      </c>
    </row>
    <row r="4" spans="1:6" ht="14.25" thickBot="1">
      <c r="A4" s="1099" t="s">
        <v>790</v>
      </c>
      <c r="B4" s="1100" t="s">
        <v>791</v>
      </c>
      <c r="C4" s="1098"/>
      <c r="D4" s="1098"/>
      <c r="E4" s="1098"/>
      <c r="F4" s="1098"/>
    </row>
    <row r="5" spans="1:6" ht="14.25" thickBot="1">
      <c r="A5" s="856" t="s">
        <v>792</v>
      </c>
      <c r="B5" s="857" t="s">
        <v>793</v>
      </c>
      <c r="C5" s="1101">
        <v>8.8999999999999996E-2</v>
      </c>
      <c r="D5" s="1101">
        <v>7.3999999999999996E-2</v>
      </c>
      <c r="E5" s="1101">
        <v>7.4999999999999997E-2</v>
      </c>
      <c r="F5" s="1102">
        <v>0.1</v>
      </c>
    </row>
    <row r="6" spans="1:6" ht="14.25" thickBot="1">
      <c r="A6" s="856" t="s">
        <v>161</v>
      </c>
      <c r="B6" s="850" t="s">
        <v>794</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795</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796</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797</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798</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799</v>
      </c>
      <c r="C72" s="1109"/>
      <c r="D72" s="1109"/>
      <c r="E72" s="1109"/>
      <c r="F72" s="1104">
        <v>0.05</v>
      </c>
    </row>
    <row r="73" spans="1:6" ht="14.25" thickBot="1">
      <c r="A73" s="856" t="s">
        <v>87</v>
      </c>
      <c r="B73" s="850" t="s">
        <v>800</v>
      </c>
      <c r="C73" s="1109"/>
      <c r="D73" s="1109"/>
      <c r="E73" s="1109"/>
      <c r="F73" s="1104">
        <v>0.05</v>
      </c>
    </row>
    <row r="74" spans="1:6" ht="14.25" thickBot="1">
      <c r="A74" s="856" t="s">
        <v>87</v>
      </c>
      <c r="B74" s="850" t="s">
        <v>801</v>
      </c>
      <c r="C74" s="1109"/>
      <c r="D74" s="1109"/>
      <c r="E74" s="1109"/>
      <c r="F74" s="1104">
        <v>0.05</v>
      </c>
    </row>
    <row r="75" spans="1:6" ht="14.25" thickBot="1">
      <c r="A75" s="873" t="s">
        <v>87</v>
      </c>
      <c r="B75" s="866" t="s">
        <v>802</v>
      </c>
      <c r="C75" s="1106"/>
      <c r="D75" s="1106"/>
      <c r="E75" s="1106"/>
      <c r="F75" s="1110">
        <v>0.05</v>
      </c>
    </row>
    <row r="76" spans="1:6" ht="14.25" thickBot="1">
      <c r="A76" s="856" t="s">
        <v>480</v>
      </c>
      <c r="B76" s="857" t="s">
        <v>803</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804</v>
      </c>
      <c r="C102" s="1109"/>
      <c r="D102" s="1109"/>
      <c r="E102" s="1109"/>
      <c r="F102" s="1104">
        <v>0.05</v>
      </c>
    </row>
    <row r="103" spans="1:6" ht="24.75" thickBot="1">
      <c r="A103" s="856" t="s">
        <v>480</v>
      </c>
      <c r="B103" s="850" t="s">
        <v>805</v>
      </c>
      <c r="C103" s="1109"/>
      <c r="D103" s="1109"/>
      <c r="E103" s="1109"/>
      <c r="F103" s="1104">
        <v>0.05</v>
      </c>
    </row>
    <row r="104" spans="1:6" ht="14.25" thickBot="1">
      <c r="A104" s="856" t="s">
        <v>480</v>
      </c>
      <c r="B104" s="850" t="s">
        <v>806</v>
      </c>
      <c r="C104" s="1109"/>
      <c r="D104" s="1109"/>
      <c r="E104" s="1109"/>
      <c r="F104" s="1104">
        <v>0.05</v>
      </c>
    </row>
    <row r="105" spans="1:6" ht="14.25" thickBot="1">
      <c r="A105" s="856" t="s">
        <v>480</v>
      </c>
      <c r="B105" s="850" t="s">
        <v>807</v>
      </c>
      <c r="C105" s="1109"/>
      <c r="D105" s="1109"/>
      <c r="E105" s="1109"/>
      <c r="F105" s="1104">
        <v>0.05</v>
      </c>
    </row>
    <row r="106" spans="1:6" ht="14.25" thickBot="1">
      <c r="A106" s="856" t="s">
        <v>480</v>
      </c>
      <c r="B106" s="850" t="s">
        <v>808</v>
      </c>
      <c r="C106" s="1109"/>
      <c r="D106" s="1109"/>
      <c r="E106" s="1109"/>
      <c r="F106" s="1104">
        <v>0.05</v>
      </c>
    </row>
    <row r="107" spans="1:6" ht="24.75" thickBot="1">
      <c r="A107" s="856" t="s">
        <v>480</v>
      </c>
      <c r="B107" s="850" t="s">
        <v>809</v>
      </c>
      <c r="C107" s="1109"/>
      <c r="D107" s="1109"/>
      <c r="E107" s="1109"/>
      <c r="F107" s="1104">
        <v>0.05</v>
      </c>
    </row>
    <row r="108" spans="1:6" ht="24.75" thickBot="1">
      <c r="A108" s="856" t="s">
        <v>480</v>
      </c>
      <c r="B108" s="850" t="s">
        <v>810</v>
      </c>
      <c r="C108" s="1109"/>
      <c r="D108" s="1109"/>
      <c r="E108" s="1109"/>
      <c r="F108" s="1104">
        <v>0.05</v>
      </c>
    </row>
    <row r="109" spans="1:6" ht="24.75" thickBot="1">
      <c r="A109" s="873" t="s">
        <v>480</v>
      </c>
      <c r="B109" s="866" t="s">
        <v>811</v>
      </c>
      <c r="C109" s="1106"/>
      <c r="D109" s="1106"/>
      <c r="E109" s="1106"/>
      <c r="F109" s="1110">
        <v>0.05</v>
      </c>
    </row>
    <row r="110" spans="1:6" ht="14.25" thickBot="1">
      <c r="A110" s="856" t="s">
        <v>70</v>
      </c>
      <c r="B110" s="857" t="s">
        <v>812</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813</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814</v>
      </c>
      <c r="C138" s="1103">
        <v>0.105</v>
      </c>
      <c r="D138" s="1103">
        <v>0.125</v>
      </c>
      <c r="E138" s="1103">
        <v>0.112</v>
      </c>
      <c r="F138" s="1108"/>
    </row>
    <row r="139" spans="1:6" ht="14.25" thickBot="1">
      <c r="A139" s="856" t="s">
        <v>70</v>
      </c>
      <c r="B139" s="850" t="s">
        <v>815</v>
      </c>
      <c r="C139" s="1103">
        <v>0.127</v>
      </c>
      <c r="D139" s="1103">
        <v>0.127</v>
      </c>
      <c r="E139" s="1103">
        <v>0.122</v>
      </c>
      <c r="F139" s="1104">
        <v>0.13</v>
      </c>
    </row>
    <row r="140" spans="1:6" ht="14.25" thickBot="1">
      <c r="A140" s="856" t="s">
        <v>70</v>
      </c>
      <c r="B140" s="850" t="s">
        <v>816</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817</v>
      </c>
      <c r="C144" s="1112">
        <v>0.126</v>
      </c>
      <c r="D144" s="1112">
        <v>0.126</v>
      </c>
      <c r="E144" s="1112">
        <v>0.121</v>
      </c>
      <c r="F144" s="1108"/>
    </row>
    <row r="145" spans="1:6" ht="14.25" thickBot="1">
      <c r="A145" s="873" t="s">
        <v>70</v>
      </c>
      <c r="B145" s="1113" t="s">
        <v>818</v>
      </c>
      <c r="C145" s="1114"/>
      <c r="D145" s="1114"/>
      <c r="E145" s="1114"/>
      <c r="F145" s="1115">
        <v>0.05</v>
      </c>
    </row>
    <row r="146" spans="1:6" ht="24.75" thickBot="1">
      <c r="A146" s="1116" t="s">
        <v>70</v>
      </c>
      <c r="B146" s="864" t="s">
        <v>819</v>
      </c>
      <c r="C146" s="1109"/>
      <c r="D146" s="1109"/>
      <c r="E146" s="1109"/>
      <c r="F146" s="1117">
        <v>0.05</v>
      </c>
    </row>
    <row r="147" spans="1:6" ht="24.75" thickBot="1">
      <c r="A147" s="856" t="s">
        <v>70</v>
      </c>
      <c r="B147" s="850" t="s">
        <v>820</v>
      </c>
      <c r="C147" s="1109"/>
      <c r="D147" s="1109"/>
      <c r="E147" s="1109"/>
      <c r="F147" s="1104">
        <v>0.05</v>
      </c>
    </row>
    <row r="148" spans="1:6" ht="24.75" thickBot="1">
      <c r="A148" s="856" t="s">
        <v>70</v>
      </c>
      <c r="B148" s="850" t="s">
        <v>821</v>
      </c>
      <c r="C148" s="1109"/>
      <c r="D148" s="1109"/>
      <c r="E148" s="1109"/>
      <c r="F148" s="1104">
        <v>0.05</v>
      </c>
    </row>
    <row r="149" spans="1:6" ht="24.75" thickBot="1">
      <c r="A149" s="856" t="s">
        <v>70</v>
      </c>
      <c r="B149" s="850" t="s">
        <v>822</v>
      </c>
      <c r="C149" s="1109"/>
      <c r="D149" s="1109"/>
      <c r="E149" s="1109"/>
      <c r="F149" s="1104">
        <v>0.05</v>
      </c>
    </row>
    <row r="150" spans="1:6" ht="24.75" thickBot="1">
      <c r="A150" s="856" t="s">
        <v>70</v>
      </c>
      <c r="B150" s="850" t="s">
        <v>823</v>
      </c>
      <c r="C150" s="1109"/>
      <c r="D150" s="1109"/>
      <c r="E150" s="1109"/>
      <c r="F150" s="1104">
        <v>0.05</v>
      </c>
    </row>
    <row r="151" spans="1:6" ht="24.75" thickBot="1">
      <c r="A151" s="856" t="s">
        <v>70</v>
      </c>
      <c r="B151" s="850" t="s">
        <v>824</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825</v>
      </c>
      <c r="C153" s="1109"/>
      <c r="D153" s="1109"/>
      <c r="E153" s="1109"/>
      <c r="F153" s="1104">
        <v>0.05</v>
      </c>
    </row>
    <row r="154" spans="1:6" ht="14.25" thickBot="1">
      <c r="A154" s="856" t="s">
        <v>70</v>
      </c>
      <c r="B154" s="850" t="s">
        <v>826</v>
      </c>
      <c r="C154" s="1109"/>
      <c r="D154" s="1109"/>
      <c r="E154" s="1109"/>
      <c r="F154" s="1104">
        <v>0.05</v>
      </c>
    </row>
    <row r="155" spans="1:6" ht="24.75" thickBot="1">
      <c r="A155" s="856" t="s">
        <v>70</v>
      </c>
      <c r="B155" s="850" t="s">
        <v>827</v>
      </c>
      <c r="C155" s="1109"/>
      <c r="D155" s="1109"/>
      <c r="E155" s="1109"/>
      <c r="F155" s="1104">
        <v>0.05</v>
      </c>
    </row>
    <row r="156" spans="1:6" ht="24.75" thickBot="1">
      <c r="A156" s="856" t="s">
        <v>70</v>
      </c>
      <c r="B156" s="850" t="s">
        <v>828</v>
      </c>
      <c r="C156" s="1109"/>
      <c r="D156" s="1109"/>
      <c r="E156" s="1109"/>
      <c r="F156" s="1104">
        <v>0.05</v>
      </c>
    </row>
    <row r="157" spans="1:6" ht="14.25" thickBot="1">
      <c r="A157" s="873" t="s">
        <v>70</v>
      </c>
      <c r="B157" s="866" t="s">
        <v>829</v>
      </c>
      <c r="C157" s="1106"/>
      <c r="D157" s="1106"/>
      <c r="E157" s="1106"/>
      <c r="F157" s="1110">
        <v>0.05</v>
      </c>
    </row>
    <row r="158" spans="1:6" ht="14.25" thickBot="1">
      <c r="A158" s="856" t="s">
        <v>483</v>
      </c>
      <c r="B158" s="857" t="s">
        <v>830</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831</v>
      </c>
      <c r="C171" s="1103">
        <v>0.127</v>
      </c>
      <c r="D171" s="1103">
        <v>0.126</v>
      </c>
      <c r="E171" s="1103">
        <v>0.126</v>
      </c>
      <c r="F171" s="1104">
        <v>0.11799999999999999</v>
      </c>
    </row>
    <row r="172" spans="1:6" ht="14.25" thickBot="1">
      <c r="A172" s="856" t="s">
        <v>483</v>
      </c>
      <c r="B172" s="850" t="s">
        <v>832</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833</v>
      </c>
      <c r="C174" s="1103">
        <v>0.13</v>
      </c>
      <c r="D174" s="1103">
        <v>0.13</v>
      </c>
      <c r="E174" s="1103">
        <v>0.13</v>
      </c>
      <c r="F174" s="1104">
        <v>0.13</v>
      </c>
    </row>
    <row r="175" spans="1:6" ht="14.25" thickBot="1">
      <c r="A175" s="856" t="s">
        <v>483</v>
      </c>
      <c r="B175" s="850" t="s">
        <v>834</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835</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836</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837</v>
      </c>
      <c r="C185" s="1103">
        <v>0.127</v>
      </c>
      <c r="D185" s="1103">
        <v>0.127</v>
      </c>
      <c r="E185" s="1103">
        <v>0.128</v>
      </c>
      <c r="F185" s="1104">
        <v>0.13</v>
      </c>
    </row>
    <row r="186" spans="1:6" ht="24.75" thickBot="1">
      <c r="A186" s="856" t="s">
        <v>483</v>
      </c>
      <c r="B186" s="850" t="s">
        <v>838</v>
      </c>
      <c r="C186" s="1109"/>
      <c r="D186" s="1109"/>
      <c r="E186" s="1109"/>
      <c r="F186" s="1104">
        <v>0.05</v>
      </c>
    </row>
    <row r="187" spans="1:6" ht="14.25" thickBot="1">
      <c r="A187" s="856" t="s">
        <v>483</v>
      </c>
      <c r="B187" s="850" t="s">
        <v>839</v>
      </c>
      <c r="C187" s="1109"/>
      <c r="D187" s="1109"/>
      <c r="E187" s="1109"/>
      <c r="F187" s="1104">
        <v>0.05</v>
      </c>
    </row>
    <row r="188" spans="1:6" ht="14.25" thickBot="1">
      <c r="A188" s="856" t="s">
        <v>483</v>
      </c>
      <c r="B188" s="850" t="s">
        <v>840</v>
      </c>
      <c r="C188" s="1109"/>
      <c r="D188" s="1109"/>
      <c r="E188" s="1109"/>
      <c r="F188" s="1104">
        <v>0.05</v>
      </c>
    </row>
    <row r="189" spans="1:6" ht="24.75" thickBot="1">
      <c r="A189" s="856" t="s">
        <v>483</v>
      </c>
      <c r="B189" s="850" t="s">
        <v>841</v>
      </c>
      <c r="C189" s="1109"/>
      <c r="D189" s="1109"/>
      <c r="E189" s="1109"/>
      <c r="F189" s="1104">
        <v>0.05</v>
      </c>
    </row>
    <row r="190" spans="1:6" ht="24.75" thickBot="1">
      <c r="A190" s="856" t="s">
        <v>483</v>
      </c>
      <c r="B190" s="850" t="s">
        <v>842</v>
      </c>
      <c r="C190" s="1109"/>
      <c r="D190" s="1109"/>
      <c r="E190" s="1109"/>
      <c r="F190" s="1104">
        <v>0.05</v>
      </c>
    </row>
    <row r="191" spans="1:6" ht="24.75" thickBot="1">
      <c r="A191" s="856" t="s">
        <v>483</v>
      </c>
      <c r="B191" s="850" t="s">
        <v>843</v>
      </c>
      <c r="C191" s="1109"/>
      <c r="D191" s="1109"/>
      <c r="E191" s="1109"/>
      <c r="F191" s="1104">
        <v>0.05</v>
      </c>
    </row>
    <row r="192" spans="1:6" ht="24.75" thickBot="1">
      <c r="A192" s="856" t="s">
        <v>483</v>
      </c>
      <c r="B192" s="850" t="s">
        <v>844</v>
      </c>
      <c r="C192" s="1109"/>
      <c r="D192" s="1109"/>
      <c r="E192" s="1109"/>
      <c r="F192" s="1104">
        <v>0.05</v>
      </c>
    </row>
    <row r="193" spans="1:6" ht="24.75" thickBot="1">
      <c r="A193" s="856" t="s">
        <v>483</v>
      </c>
      <c r="B193" s="850" t="s">
        <v>845</v>
      </c>
      <c r="C193" s="1109"/>
      <c r="D193" s="1109"/>
      <c r="E193" s="1109"/>
      <c r="F193" s="1104">
        <v>0.05</v>
      </c>
    </row>
    <row r="194" spans="1:6" ht="24.75" thickBot="1">
      <c r="A194" s="856" t="s">
        <v>483</v>
      </c>
      <c r="B194" s="850" t="s">
        <v>846</v>
      </c>
      <c r="C194" s="1109"/>
      <c r="D194" s="1109"/>
      <c r="E194" s="1109"/>
      <c r="F194" s="1104">
        <v>0.05</v>
      </c>
    </row>
    <row r="195" spans="1:6" ht="14.25" thickBot="1">
      <c r="A195" s="856" t="s">
        <v>483</v>
      </c>
      <c r="B195" s="850" t="s">
        <v>847</v>
      </c>
      <c r="C195" s="1109"/>
      <c r="D195" s="1109"/>
      <c r="E195" s="1109"/>
      <c r="F195" s="1104">
        <v>0.05</v>
      </c>
    </row>
    <row r="196" spans="1:6" ht="24.75" thickBot="1">
      <c r="A196" s="856" t="s">
        <v>483</v>
      </c>
      <c r="B196" s="850" t="s">
        <v>848</v>
      </c>
      <c r="C196" s="1109"/>
      <c r="D196" s="1109"/>
      <c r="E196" s="1109"/>
      <c r="F196" s="1104">
        <v>0.05</v>
      </c>
    </row>
    <row r="197" spans="1:6" ht="24.75" thickBot="1">
      <c r="A197" s="856" t="s">
        <v>483</v>
      </c>
      <c r="B197" s="850" t="s">
        <v>849</v>
      </c>
      <c r="C197" s="1109"/>
      <c r="D197" s="1109"/>
      <c r="E197" s="1109"/>
      <c r="F197" s="1104">
        <v>0.05</v>
      </c>
    </row>
    <row r="198" spans="1:6" ht="24.75" thickBot="1">
      <c r="A198" s="856" t="s">
        <v>483</v>
      </c>
      <c r="B198" s="850" t="s">
        <v>850</v>
      </c>
      <c r="C198" s="1109"/>
      <c r="D198" s="1109"/>
      <c r="E198" s="1109"/>
      <c r="F198" s="1104">
        <v>0.05</v>
      </c>
    </row>
    <row r="199" spans="1:6" ht="24.75" thickBot="1">
      <c r="A199" s="856" t="s">
        <v>483</v>
      </c>
      <c r="B199" s="850" t="s">
        <v>851</v>
      </c>
      <c r="C199" s="1109"/>
      <c r="D199" s="1109"/>
      <c r="E199" s="1109"/>
      <c r="F199" s="1104">
        <v>0.05</v>
      </c>
    </row>
    <row r="200" spans="1:6" ht="24.75" thickBot="1">
      <c r="A200" s="856" t="s">
        <v>483</v>
      </c>
      <c r="B200" s="850" t="s">
        <v>852</v>
      </c>
      <c r="C200" s="1109"/>
      <c r="D200" s="1109"/>
      <c r="E200" s="1109"/>
      <c r="F200" s="1104">
        <v>0.05</v>
      </c>
    </row>
    <row r="201" spans="1:6" ht="24.75" thickBot="1">
      <c r="A201" s="856" t="s">
        <v>483</v>
      </c>
      <c r="B201" s="850" t="s">
        <v>853</v>
      </c>
      <c r="C201" s="1109"/>
      <c r="D201" s="1109"/>
      <c r="E201" s="1109"/>
      <c r="F201" s="1104">
        <v>0.05</v>
      </c>
    </row>
    <row r="202" spans="1:6" ht="24.75" thickBot="1">
      <c r="A202" s="856" t="s">
        <v>483</v>
      </c>
      <c r="B202" s="850" t="s">
        <v>854</v>
      </c>
      <c r="C202" s="1109"/>
      <c r="D202" s="1109"/>
      <c r="E202" s="1109"/>
      <c r="F202" s="1104">
        <v>0.05</v>
      </c>
    </row>
    <row r="203" spans="1:6" ht="24.75" thickBot="1">
      <c r="A203" s="856" t="s">
        <v>483</v>
      </c>
      <c r="B203" s="850" t="s">
        <v>855</v>
      </c>
      <c r="C203" s="1109"/>
      <c r="D203" s="1109"/>
      <c r="E203" s="1109"/>
      <c r="F203" s="1104">
        <v>0.05</v>
      </c>
    </row>
    <row r="204" spans="1:6" ht="14.25" thickBot="1">
      <c r="A204" s="856" t="s">
        <v>483</v>
      </c>
      <c r="B204" s="850" t="s">
        <v>856</v>
      </c>
      <c r="C204" s="1109"/>
      <c r="D204" s="1109"/>
      <c r="E204" s="1109"/>
      <c r="F204" s="1104">
        <v>0.05</v>
      </c>
    </row>
    <row r="205" spans="1:6" ht="14.25" thickBot="1">
      <c r="A205" s="873" t="s">
        <v>483</v>
      </c>
      <c r="B205" s="866" t="s">
        <v>857</v>
      </c>
      <c r="C205" s="1106"/>
      <c r="D205" s="1106"/>
      <c r="E205" s="1106"/>
      <c r="F205" s="1110">
        <v>0.05</v>
      </c>
    </row>
    <row r="206" spans="1:6" ht="14.25" thickBot="1">
      <c r="A206" s="856" t="s">
        <v>485</v>
      </c>
      <c r="B206" s="857" t="s">
        <v>858</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859</v>
      </c>
      <c r="C210" s="1103">
        <v>0.15</v>
      </c>
      <c r="D210" s="1103">
        <v>0.15</v>
      </c>
      <c r="E210" s="1103">
        <v>0.15</v>
      </c>
      <c r="F210" s="1104">
        <v>0.13800000000000001</v>
      </c>
    </row>
    <row r="211" spans="1:6" ht="14.25" thickBot="1">
      <c r="A211" s="856" t="s">
        <v>485</v>
      </c>
      <c r="B211" s="850" t="s">
        <v>860</v>
      </c>
      <c r="C211" s="1103">
        <v>0.13700000000000001</v>
      </c>
      <c r="D211" s="1103">
        <v>0.13500000000000001</v>
      </c>
      <c r="E211" s="1103">
        <v>0.13600000000000001</v>
      </c>
      <c r="F211" s="1104">
        <v>0.1</v>
      </c>
    </row>
    <row r="212" spans="1:6" ht="14.25" thickBot="1">
      <c r="A212" s="856" t="s">
        <v>485</v>
      </c>
      <c r="B212" s="850" t="s">
        <v>861</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862</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863</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864</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865</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866</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867</v>
      </c>
      <c r="C231" s="1103">
        <v>0.128</v>
      </c>
      <c r="D231" s="1103">
        <v>0.125</v>
      </c>
      <c r="E231" s="1103">
        <v>0.13200000000000001</v>
      </c>
      <c r="F231" s="1108"/>
    </row>
    <row r="232" spans="1:6" ht="14.25" thickBot="1">
      <c r="A232" s="856" t="s">
        <v>485</v>
      </c>
      <c r="B232" s="850" t="s">
        <v>868</v>
      </c>
      <c r="C232" s="1103">
        <v>0.14499999999999999</v>
      </c>
      <c r="D232" s="1103">
        <v>0.14399999999999999</v>
      </c>
      <c r="E232" s="1103">
        <v>0.14599999999999999</v>
      </c>
      <c r="F232" s="1104">
        <v>0.13800000000000001</v>
      </c>
    </row>
    <row r="233" spans="1:6" ht="14.25" thickBot="1">
      <c r="A233" s="856" t="s">
        <v>485</v>
      </c>
      <c r="B233" s="850" t="s">
        <v>869</v>
      </c>
      <c r="C233" s="1103">
        <v>0.14499999999999999</v>
      </c>
      <c r="D233" s="1103">
        <v>0.14299999999999999</v>
      </c>
      <c r="E233" s="1103">
        <v>0.14199999999999999</v>
      </c>
      <c r="F233" s="1108"/>
    </row>
    <row r="234" spans="1:6" ht="14.25" thickBot="1">
      <c r="A234" s="856" t="s">
        <v>485</v>
      </c>
      <c r="B234" s="850" t="s">
        <v>870</v>
      </c>
      <c r="C234" s="1103">
        <v>0.14000000000000001</v>
      </c>
      <c r="D234" s="1103">
        <v>0.14000000000000001</v>
      </c>
      <c r="E234" s="1103">
        <v>0.14399999999999999</v>
      </c>
      <c r="F234" s="1108"/>
    </row>
    <row r="235" spans="1:6" ht="14.25" thickBot="1">
      <c r="A235" s="856" t="s">
        <v>485</v>
      </c>
      <c r="B235" s="850" t="s">
        <v>871</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872</v>
      </c>
      <c r="C237" s="1109"/>
      <c r="D237" s="1109"/>
      <c r="E237" s="1109"/>
      <c r="F237" s="1104">
        <v>0.05</v>
      </c>
    </row>
    <row r="238" spans="1:6" ht="24.75" thickBot="1">
      <c r="A238" s="856" t="s">
        <v>485</v>
      </c>
      <c r="B238" s="850" t="s">
        <v>873</v>
      </c>
      <c r="C238" s="1109"/>
      <c r="D238" s="1109"/>
      <c r="E238" s="1109"/>
      <c r="F238" s="1104">
        <v>0.05</v>
      </c>
    </row>
    <row r="239" spans="1:6" ht="24.75" thickBot="1">
      <c r="A239" s="856" t="s">
        <v>485</v>
      </c>
      <c r="B239" s="850" t="s">
        <v>874</v>
      </c>
      <c r="C239" s="1109"/>
      <c r="D239" s="1109"/>
      <c r="E239" s="1109"/>
      <c r="F239" s="1104">
        <v>0.05</v>
      </c>
    </row>
    <row r="240" spans="1:6" ht="24.75" thickBot="1">
      <c r="A240" s="856" t="s">
        <v>485</v>
      </c>
      <c r="B240" s="850" t="s">
        <v>875</v>
      </c>
      <c r="C240" s="1109"/>
      <c r="D240" s="1109"/>
      <c r="E240" s="1109"/>
      <c r="F240" s="1104">
        <v>0.05</v>
      </c>
    </row>
    <row r="241" spans="1:6" ht="24.75" thickBot="1">
      <c r="A241" s="856" t="s">
        <v>485</v>
      </c>
      <c r="B241" s="850" t="s">
        <v>876</v>
      </c>
      <c r="C241" s="1109"/>
      <c r="D241" s="1109"/>
      <c r="E241" s="1109"/>
      <c r="F241" s="1104">
        <v>0.05</v>
      </c>
    </row>
    <row r="242" spans="1:6" ht="24.75" thickBot="1">
      <c r="A242" s="856" t="s">
        <v>485</v>
      </c>
      <c r="B242" s="850" t="s">
        <v>877</v>
      </c>
      <c r="C242" s="1109"/>
      <c r="D242" s="1109"/>
      <c r="E242" s="1109"/>
      <c r="F242" s="1104">
        <v>0.05</v>
      </c>
    </row>
    <row r="243" spans="1:6" ht="24.75" thickBot="1">
      <c r="A243" s="856" t="s">
        <v>485</v>
      </c>
      <c r="B243" s="850" t="s">
        <v>878</v>
      </c>
      <c r="C243" s="1109"/>
      <c r="D243" s="1109"/>
      <c r="E243" s="1109"/>
      <c r="F243" s="1104">
        <v>0.05</v>
      </c>
    </row>
    <row r="244" spans="1:6" ht="24.75" thickBot="1">
      <c r="A244" s="873" t="s">
        <v>485</v>
      </c>
      <c r="B244" s="866" t="s">
        <v>879</v>
      </c>
      <c r="C244" s="1106"/>
      <c r="D244" s="1106"/>
      <c r="E244" s="1106"/>
      <c r="F244" s="1110">
        <v>0.05</v>
      </c>
    </row>
    <row r="245" spans="1:6" ht="14.25" thickBot="1">
      <c r="A245" s="856" t="s">
        <v>487</v>
      </c>
      <c r="B245" s="857" t="s">
        <v>880</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881</v>
      </c>
      <c r="C247" s="1103">
        <v>0.15</v>
      </c>
      <c r="D247" s="1103">
        <v>0.15</v>
      </c>
      <c r="E247" s="1103">
        <v>0.15</v>
      </c>
      <c r="F247" s="1104">
        <v>0.15</v>
      </c>
    </row>
    <row r="248" spans="1:6" ht="14.25" thickBot="1">
      <c r="A248" s="856" t="s">
        <v>487</v>
      </c>
      <c r="B248" s="850" t="s">
        <v>882</v>
      </c>
      <c r="C248" s="1103">
        <v>0.15</v>
      </c>
      <c r="D248" s="1103">
        <v>0.15</v>
      </c>
      <c r="E248" s="1103">
        <v>0.15</v>
      </c>
      <c r="F248" s="1104">
        <v>0.14000000000000001</v>
      </c>
    </row>
    <row r="249" spans="1:6" ht="14.25" thickBot="1">
      <c r="A249" s="856" t="s">
        <v>487</v>
      </c>
      <c r="B249" s="850" t="s">
        <v>883</v>
      </c>
      <c r="C249" s="1103">
        <v>0.15</v>
      </c>
      <c r="D249" s="1103">
        <v>0.14899999999999999</v>
      </c>
      <c r="E249" s="1103">
        <v>0.15</v>
      </c>
      <c r="F249" s="1104">
        <v>0.1</v>
      </c>
    </row>
    <row r="250" spans="1:6" ht="14.25" thickBot="1">
      <c r="A250" s="856" t="s">
        <v>487</v>
      </c>
      <c r="B250" s="850" t="s">
        <v>884</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885</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886</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887</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888</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889</v>
      </c>
      <c r="C273" s="1103">
        <v>0.14199999999999999</v>
      </c>
      <c r="D273" s="1103">
        <v>0.14299999999999999</v>
      </c>
      <c r="E273" s="1103">
        <v>0.15</v>
      </c>
      <c r="F273" s="1104">
        <v>0.1</v>
      </c>
    </row>
    <row r="274" spans="1:6" ht="14.25" thickBot="1">
      <c r="A274" s="856" t="s">
        <v>487</v>
      </c>
      <c r="B274" s="850" t="s">
        <v>890</v>
      </c>
      <c r="C274" s="1103">
        <v>0.14799999999999999</v>
      </c>
      <c r="D274" s="1103">
        <v>0.14799999999999999</v>
      </c>
      <c r="E274" s="1103">
        <v>0.15</v>
      </c>
      <c r="F274" s="1104">
        <v>6.7000000000000004E-2</v>
      </c>
    </row>
    <row r="275" spans="1:6" ht="14.25" thickBot="1">
      <c r="A275" s="856" t="s">
        <v>487</v>
      </c>
      <c r="B275" s="850" t="s">
        <v>891</v>
      </c>
      <c r="C275" s="1103">
        <v>0.15</v>
      </c>
      <c r="D275" s="1103">
        <v>0.15</v>
      </c>
      <c r="E275" s="1103">
        <v>0.15</v>
      </c>
      <c r="F275" s="1104">
        <v>0.15</v>
      </c>
    </row>
    <row r="276" spans="1:6" ht="14.25" thickBot="1">
      <c r="A276" s="856" t="s">
        <v>487</v>
      </c>
      <c r="B276" s="850" t="s">
        <v>892</v>
      </c>
      <c r="C276" s="1103">
        <v>0.14499999999999999</v>
      </c>
      <c r="D276" s="1103">
        <v>0.14299999999999999</v>
      </c>
      <c r="E276" s="1103">
        <v>0.15</v>
      </c>
      <c r="F276" s="1104">
        <v>5.8999999999999997E-2</v>
      </c>
    </row>
    <row r="277" spans="1:6" ht="14.25" thickBot="1">
      <c r="A277" s="856" t="s">
        <v>487</v>
      </c>
      <c r="B277" s="850" t="s">
        <v>893</v>
      </c>
      <c r="C277" s="1103">
        <v>0.15</v>
      </c>
      <c r="D277" s="1103">
        <v>0.15</v>
      </c>
      <c r="E277" s="1103">
        <v>0.15</v>
      </c>
      <c r="F277" s="1104">
        <v>0.121</v>
      </c>
    </row>
    <row r="278" spans="1:6" ht="14.25" thickBot="1">
      <c r="A278" s="856" t="s">
        <v>487</v>
      </c>
      <c r="B278" s="850" t="s">
        <v>894</v>
      </c>
      <c r="C278" s="1103">
        <v>0.15</v>
      </c>
      <c r="D278" s="1103">
        <v>0.15</v>
      </c>
      <c r="E278" s="1103">
        <v>0.15</v>
      </c>
      <c r="F278" s="1104">
        <v>0.13800000000000001</v>
      </c>
    </row>
    <row r="279" spans="1:6" ht="24.75" thickBot="1">
      <c r="A279" s="856" t="s">
        <v>487</v>
      </c>
      <c r="B279" s="850" t="s">
        <v>895</v>
      </c>
      <c r="C279" s="1109"/>
      <c r="D279" s="1109"/>
      <c r="E279" s="1109"/>
      <c r="F279" s="1104">
        <v>0.05</v>
      </c>
    </row>
    <row r="280" spans="1:6" ht="24.75" thickBot="1">
      <c r="A280" s="856" t="s">
        <v>487</v>
      </c>
      <c r="B280" s="850" t="s">
        <v>896</v>
      </c>
      <c r="C280" s="1109"/>
      <c r="D280" s="1109"/>
      <c r="E280" s="1109"/>
      <c r="F280" s="1104">
        <v>0.05</v>
      </c>
    </row>
    <row r="281" spans="1:6" ht="24.75" thickBot="1">
      <c r="A281" s="856" t="s">
        <v>487</v>
      </c>
      <c r="B281" s="850" t="s">
        <v>897</v>
      </c>
      <c r="C281" s="1109"/>
      <c r="D281" s="1109"/>
      <c r="E281" s="1109"/>
      <c r="F281" s="1104">
        <v>0.05</v>
      </c>
    </row>
    <row r="282" spans="1:6" ht="24.75" thickBot="1">
      <c r="A282" s="856" t="s">
        <v>487</v>
      </c>
      <c r="B282" s="850" t="s">
        <v>898</v>
      </c>
      <c r="C282" s="1109"/>
      <c r="D282" s="1109"/>
      <c r="E282" s="1109"/>
      <c r="F282" s="1104">
        <v>0.05</v>
      </c>
    </row>
    <row r="283" spans="1:6" ht="24.75" thickBot="1">
      <c r="A283" s="856" t="s">
        <v>487</v>
      </c>
      <c r="B283" s="850" t="s">
        <v>899</v>
      </c>
      <c r="C283" s="1109"/>
      <c r="D283" s="1109"/>
      <c r="E283" s="1109"/>
      <c r="F283" s="1104">
        <v>0.05</v>
      </c>
    </row>
    <row r="284" spans="1:6" ht="24.75" thickBot="1">
      <c r="A284" s="856" t="s">
        <v>487</v>
      </c>
      <c r="B284" s="850" t="s">
        <v>900</v>
      </c>
      <c r="C284" s="1109"/>
      <c r="D284" s="1109"/>
      <c r="E284" s="1109"/>
      <c r="F284" s="1104">
        <v>0.05</v>
      </c>
    </row>
    <row r="285" spans="1:6" ht="24.75" thickBot="1">
      <c r="A285" s="856" t="s">
        <v>487</v>
      </c>
      <c r="B285" s="850" t="s">
        <v>901</v>
      </c>
      <c r="C285" s="1109"/>
      <c r="D285" s="1109"/>
      <c r="E285" s="1109"/>
      <c r="F285" s="1104">
        <v>0.05</v>
      </c>
    </row>
    <row r="286" spans="1:6" ht="24.75" thickBot="1">
      <c r="A286" s="856" t="s">
        <v>487</v>
      </c>
      <c r="B286" s="850" t="s">
        <v>902</v>
      </c>
      <c r="C286" s="1109"/>
      <c r="D286" s="1109"/>
      <c r="E286" s="1109"/>
      <c r="F286" s="1104">
        <v>0.05</v>
      </c>
    </row>
    <row r="287" spans="1:6" ht="24.75" thickBot="1">
      <c r="A287" s="856" t="s">
        <v>487</v>
      </c>
      <c r="B287" s="850" t="s">
        <v>903</v>
      </c>
      <c r="C287" s="1109"/>
      <c r="D287" s="1109"/>
      <c r="E287" s="1109"/>
      <c r="F287" s="1104">
        <v>0.05</v>
      </c>
    </row>
    <row r="288" spans="1:6" ht="24.75" thickBot="1">
      <c r="A288" s="856" t="s">
        <v>487</v>
      </c>
      <c r="B288" s="850" t="s">
        <v>904</v>
      </c>
      <c r="C288" s="1109"/>
      <c r="D288" s="1109"/>
      <c r="E288" s="1109"/>
      <c r="F288" s="1104">
        <v>0.05</v>
      </c>
    </row>
    <row r="289" spans="1:6" ht="24.75" thickBot="1">
      <c r="A289" s="873" t="s">
        <v>487</v>
      </c>
      <c r="B289" s="866" t="s">
        <v>905</v>
      </c>
      <c r="C289" s="1106"/>
      <c r="D289" s="1106"/>
      <c r="E289" s="1106"/>
      <c r="F289" s="1110">
        <v>0.05</v>
      </c>
    </row>
    <row r="290" spans="1:6" ht="14.25" thickBot="1">
      <c r="A290" s="856" t="s">
        <v>491</v>
      </c>
      <c r="B290" s="857" t="s">
        <v>906</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907</v>
      </c>
      <c r="C292" s="1103">
        <v>0.15</v>
      </c>
      <c r="D292" s="1103">
        <v>0.15</v>
      </c>
      <c r="E292" s="1103">
        <v>0.15</v>
      </c>
      <c r="F292" s="1104">
        <v>0.14699999999999999</v>
      </c>
    </row>
    <row r="293" spans="1:6" ht="14.25" thickBot="1">
      <c r="A293" s="856" t="s">
        <v>491</v>
      </c>
      <c r="B293" s="850" t="s">
        <v>908</v>
      </c>
      <c r="C293" s="1109"/>
      <c r="D293" s="1109"/>
      <c r="E293" s="1109"/>
      <c r="F293" s="1104">
        <v>0.1</v>
      </c>
    </row>
    <row r="294" spans="1:6" ht="14.25" thickBot="1">
      <c r="A294" s="856" t="s">
        <v>491</v>
      </c>
      <c r="B294" s="850" t="s">
        <v>909</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910</v>
      </c>
      <c r="C296" s="1103">
        <v>0.15</v>
      </c>
      <c r="D296" s="1103">
        <v>0.15</v>
      </c>
      <c r="E296" s="1103">
        <v>0.15</v>
      </c>
      <c r="F296" s="1104">
        <v>0.15</v>
      </c>
    </row>
    <row r="297" spans="1:6" ht="14.25" thickBot="1">
      <c r="A297" s="856" t="s">
        <v>491</v>
      </c>
      <c r="B297" s="850" t="s">
        <v>911</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912</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913</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914</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915</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916</v>
      </c>
      <c r="C310" s="1103">
        <v>0.15</v>
      </c>
      <c r="D310" s="1103">
        <v>0.15</v>
      </c>
      <c r="E310" s="1103">
        <v>0.15</v>
      </c>
      <c r="F310" s="1104">
        <v>0.13700000000000001</v>
      </c>
    </row>
    <row r="311" spans="1:6" ht="14.25" thickBot="1">
      <c r="A311" s="856" t="s">
        <v>491</v>
      </c>
      <c r="B311" s="850" t="s">
        <v>917</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918</v>
      </c>
      <c r="C313" s="1103">
        <v>0.15</v>
      </c>
      <c r="D313" s="1103">
        <v>0.15</v>
      </c>
      <c r="E313" s="1103">
        <v>0.15</v>
      </c>
      <c r="F313" s="1104">
        <v>0.15</v>
      </c>
    </row>
    <row r="314" spans="1:6" ht="24.75" thickBot="1">
      <c r="A314" s="856" t="s">
        <v>491</v>
      </c>
      <c r="B314" s="850" t="s">
        <v>919</v>
      </c>
      <c r="C314" s="1109"/>
      <c r="D314" s="1109"/>
      <c r="E314" s="1109"/>
      <c r="F314" s="1104">
        <v>0.05</v>
      </c>
    </row>
    <row r="315" spans="1:6" ht="24.75" thickBot="1">
      <c r="A315" s="856" t="s">
        <v>491</v>
      </c>
      <c r="B315" s="850" t="s">
        <v>920</v>
      </c>
      <c r="C315" s="1109"/>
      <c r="D315" s="1109"/>
      <c r="E315" s="1109"/>
      <c r="F315" s="1104">
        <v>0.05</v>
      </c>
    </row>
    <row r="316" spans="1:6" ht="24.75" thickBot="1">
      <c r="A316" s="873" t="s">
        <v>491</v>
      </c>
      <c r="B316" s="866" t="s">
        <v>921</v>
      </c>
      <c r="C316" s="1106"/>
      <c r="D316" s="1106"/>
      <c r="E316" s="1106"/>
      <c r="F316" s="1110">
        <v>0.05</v>
      </c>
    </row>
    <row r="317" spans="1:6" ht="14.25" thickBot="1">
      <c r="A317" s="856" t="s">
        <v>922</v>
      </c>
      <c r="B317" s="857" t="s">
        <v>923</v>
      </c>
      <c r="C317" s="1101">
        <v>0.15</v>
      </c>
      <c r="D317" s="1101">
        <v>0.15</v>
      </c>
      <c r="E317" s="1101">
        <v>0.15</v>
      </c>
      <c r="F317" s="1102">
        <v>0.15</v>
      </c>
    </row>
    <row r="318" spans="1:6" ht="14.25" thickBot="1">
      <c r="A318" s="856" t="s">
        <v>922</v>
      </c>
      <c r="B318" s="850" t="s">
        <v>924</v>
      </c>
      <c r="C318" s="1103">
        <v>0.107</v>
      </c>
      <c r="D318" s="1103">
        <v>0.11</v>
      </c>
      <c r="E318" s="1103">
        <v>0.112</v>
      </c>
      <c r="F318" s="1108"/>
    </row>
    <row r="319" spans="1:6" ht="14.25" thickBot="1">
      <c r="A319" s="856" t="s">
        <v>922</v>
      </c>
      <c r="B319" s="850" t="s">
        <v>925</v>
      </c>
      <c r="C319" s="1103">
        <v>0.15</v>
      </c>
      <c r="D319" s="1103">
        <v>0.15</v>
      </c>
      <c r="E319" s="1103">
        <v>0.15</v>
      </c>
      <c r="F319" s="1104">
        <v>0.15</v>
      </c>
    </row>
    <row r="320" spans="1:6" ht="14.25" thickBot="1">
      <c r="A320" s="856" t="s">
        <v>922</v>
      </c>
      <c r="B320" s="850" t="s">
        <v>172</v>
      </c>
      <c r="C320" s="1103">
        <v>0.15</v>
      </c>
      <c r="D320" s="1103">
        <v>0.15</v>
      </c>
      <c r="E320" s="1103">
        <v>0.15</v>
      </c>
      <c r="F320" s="1108"/>
    </row>
    <row r="321" spans="1:6" ht="14.25" thickBot="1">
      <c r="A321" s="856" t="s">
        <v>922</v>
      </c>
      <c r="B321" s="850" t="s">
        <v>926</v>
      </c>
      <c r="C321" s="1103">
        <v>0.15</v>
      </c>
      <c r="D321" s="1103">
        <v>0.15</v>
      </c>
      <c r="E321" s="1103">
        <v>0.15</v>
      </c>
      <c r="F321" s="1108"/>
    </row>
    <row r="322" spans="1:6" ht="14.25" thickBot="1">
      <c r="A322" s="856" t="s">
        <v>922</v>
      </c>
      <c r="B322" s="850" t="s">
        <v>927</v>
      </c>
      <c r="C322" s="1103">
        <v>0.15</v>
      </c>
      <c r="D322" s="1103">
        <v>0.15</v>
      </c>
      <c r="E322" s="1103">
        <v>0.15</v>
      </c>
      <c r="F322" s="1104">
        <v>0.15</v>
      </c>
    </row>
    <row r="323" spans="1:6" ht="14.25" thickBot="1">
      <c r="A323" s="856" t="s">
        <v>922</v>
      </c>
      <c r="B323" s="850" t="s">
        <v>928</v>
      </c>
      <c r="C323" s="1103">
        <v>0.15</v>
      </c>
      <c r="D323" s="1103">
        <v>0.15</v>
      </c>
      <c r="E323" s="1103">
        <v>0.15</v>
      </c>
      <c r="F323" s="1108"/>
    </row>
    <row r="324" spans="1:6" ht="14.25" thickBot="1">
      <c r="A324" s="856" t="s">
        <v>922</v>
      </c>
      <c r="B324" s="850" t="s">
        <v>929</v>
      </c>
      <c r="C324" s="1103">
        <v>0.15</v>
      </c>
      <c r="D324" s="1103">
        <v>0.15</v>
      </c>
      <c r="E324" s="1103">
        <v>0.15</v>
      </c>
      <c r="F324" s="1108"/>
    </row>
    <row r="325" spans="1:6" ht="14.25" thickBot="1">
      <c r="A325" s="856" t="s">
        <v>922</v>
      </c>
      <c r="B325" s="850" t="s">
        <v>930</v>
      </c>
      <c r="C325" s="1103">
        <v>0.15</v>
      </c>
      <c r="D325" s="1103">
        <v>0.15</v>
      </c>
      <c r="E325" s="1103">
        <v>0.15</v>
      </c>
      <c r="F325" s="1104">
        <v>0.14699999999999999</v>
      </c>
    </row>
    <row r="326" spans="1:6" ht="14.25" thickBot="1">
      <c r="A326" s="856" t="s">
        <v>922</v>
      </c>
      <c r="B326" s="850" t="s">
        <v>244</v>
      </c>
      <c r="C326" s="1103">
        <v>0.15</v>
      </c>
      <c r="D326" s="1103">
        <v>0.15</v>
      </c>
      <c r="E326" s="1103">
        <v>0.15</v>
      </c>
      <c r="F326" s="1108"/>
    </row>
    <row r="327" spans="1:6" ht="14.25" thickBot="1">
      <c r="A327" s="856" t="s">
        <v>922</v>
      </c>
      <c r="B327" s="850" t="s">
        <v>931</v>
      </c>
      <c r="C327" s="1103">
        <v>0.15</v>
      </c>
      <c r="D327" s="1103">
        <v>0.15</v>
      </c>
      <c r="E327" s="1103">
        <v>0.15</v>
      </c>
      <c r="F327" s="1104">
        <v>0.15</v>
      </c>
    </row>
    <row r="328" spans="1:6" ht="14.25" thickBot="1">
      <c r="A328" s="856" t="s">
        <v>922</v>
      </c>
      <c r="B328" s="850" t="s">
        <v>266</v>
      </c>
      <c r="C328" s="1103">
        <v>0.15</v>
      </c>
      <c r="D328" s="1103">
        <v>0.15</v>
      </c>
      <c r="E328" s="1103">
        <v>0.15</v>
      </c>
      <c r="F328" s="1104">
        <v>0.14099999999999999</v>
      </c>
    </row>
    <row r="329" spans="1:6" ht="14.25" thickBot="1">
      <c r="A329" s="856" t="s">
        <v>922</v>
      </c>
      <c r="B329" s="850" t="s">
        <v>277</v>
      </c>
      <c r="C329" s="1103">
        <v>0.15</v>
      </c>
      <c r="D329" s="1103">
        <v>0.15</v>
      </c>
      <c r="E329" s="1103">
        <v>0.15</v>
      </c>
      <c r="F329" s="1104">
        <v>0.15</v>
      </c>
    </row>
    <row r="330" spans="1:6" ht="14.25" thickBot="1">
      <c r="A330" s="856" t="s">
        <v>922</v>
      </c>
      <c r="B330" s="850" t="s">
        <v>288</v>
      </c>
      <c r="C330" s="1103">
        <v>0.15</v>
      </c>
      <c r="D330" s="1103">
        <v>0.15</v>
      </c>
      <c r="E330" s="1103">
        <v>0.15</v>
      </c>
      <c r="F330" s="1108"/>
    </row>
    <row r="331" spans="1:6" ht="14.25" thickBot="1">
      <c r="A331" s="856" t="s">
        <v>922</v>
      </c>
      <c r="B331" s="850" t="s">
        <v>932</v>
      </c>
      <c r="C331" s="1103">
        <v>0.15</v>
      </c>
      <c r="D331" s="1103">
        <v>0.15</v>
      </c>
      <c r="E331" s="1103">
        <v>0.15</v>
      </c>
      <c r="F331" s="1104">
        <v>0.15</v>
      </c>
    </row>
    <row r="332" spans="1:6" ht="14.25" thickBot="1">
      <c r="A332" s="856" t="s">
        <v>922</v>
      </c>
      <c r="B332" s="850" t="s">
        <v>309</v>
      </c>
      <c r="C332" s="1103">
        <v>0.15</v>
      </c>
      <c r="D332" s="1103">
        <v>0.15</v>
      </c>
      <c r="E332" s="1103">
        <v>0.15</v>
      </c>
      <c r="F332" s="1104">
        <v>0.15</v>
      </c>
    </row>
    <row r="333" spans="1:6" ht="14.25" thickBot="1">
      <c r="A333" s="856" t="s">
        <v>922</v>
      </c>
      <c r="B333" s="850" t="s">
        <v>933</v>
      </c>
      <c r="C333" s="1103">
        <v>0.15</v>
      </c>
      <c r="D333" s="1103">
        <v>0.15</v>
      </c>
      <c r="E333" s="1103">
        <v>0.15</v>
      </c>
      <c r="F333" s="1104">
        <v>0.14099999999999999</v>
      </c>
    </row>
    <row r="334" spans="1:6" ht="14.25" thickBot="1">
      <c r="A334" s="856" t="s">
        <v>922</v>
      </c>
      <c r="B334" s="850" t="s">
        <v>329</v>
      </c>
      <c r="C334" s="1103">
        <v>0.15</v>
      </c>
      <c r="D334" s="1103">
        <v>0.15</v>
      </c>
      <c r="E334" s="1103">
        <v>0.15</v>
      </c>
      <c r="F334" s="1104">
        <v>0.15</v>
      </c>
    </row>
    <row r="335" spans="1:6" ht="14.25" thickBot="1">
      <c r="A335" s="856" t="s">
        <v>922</v>
      </c>
      <c r="B335" s="850" t="s">
        <v>339</v>
      </c>
      <c r="C335" s="1103">
        <v>0.15</v>
      </c>
      <c r="D335" s="1103">
        <v>0.15</v>
      </c>
      <c r="E335" s="1103">
        <v>0.15</v>
      </c>
      <c r="F335" s="1108"/>
    </row>
    <row r="336" spans="1:6" ht="14.25" thickBot="1">
      <c r="A336" s="856" t="s">
        <v>922</v>
      </c>
      <c r="B336" s="850" t="s">
        <v>934</v>
      </c>
      <c r="C336" s="1103">
        <v>0.15</v>
      </c>
      <c r="D336" s="1103">
        <v>0.15</v>
      </c>
      <c r="E336" s="1103">
        <v>0.15</v>
      </c>
      <c r="F336" s="1104">
        <v>0.11799999999999999</v>
      </c>
    </row>
    <row r="337" spans="1:6" ht="14.25" thickBot="1">
      <c r="A337" s="873" t="s">
        <v>922</v>
      </c>
      <c r="B337" s="866" t="s">
        <v>357</v>
      </c>
      <c r="C337" s="1106"/>
      <c r="D337" s="1106"/>
      <c r="E337" s="1106"/>
      <c r="F337" s="1110">
        <v>0.14299999999999999</v>
      </c>
    </row>
    <row r="338" spans="1:6" ht="14.25" thickBot="1">
      <c r="A338" s="856" t="s">
        <v>935</v>
      </c>
      <c r="B338" s="857" t="s">
        <v>936</v>
      </c>
      <c r="C338" s="1101">
        <v>0.15</v>
      </c>
      <c r="D338" s="1101">
        <v>0.15</v>
      </c>
      <c r="E338" s="1101">
        <v>0.15</v>
      </c>
      <c r="F338" s="1118"/>
    </row>
    <row r="339" spans="1:6" ht="14.25" thickBot="1">
      <c r="A339" s="856" t="s">
        <v>935</v>
      </c>
      <c r="B339" s="850" t="s">
        <v>937</v>
      </c>
      <c r="C339" s="1103">
        <v>0.15</v>
      </c>
      <c r="D339" s="1103">
        <v>0.15</v>
      </c>
      <c r="E339" s="1103">
        <v>0.15</v>
      </c>
      <c r="F339" s="1108"/>
    </row>
    <row r="340" spans="1:6" ht="14.25" thickBot="1">
      <c r="A340" s="856" t="s">
        <v>935</v>
      </c>
      <c r="B340" s="850" t="s">
        <v>938</v>
      </c>
      <c r="C340" s="1103">
        <v>0.15</v>
      </c>
      <c r="D340" s="1103">
        <v>0.15</v>
      </c>
      <c r="E340" s="1103">
        <v>0.15</v>
      </c>
      <c r="F340" s="1108"/>
    </row>
    <row r="341" spans="1:6" ht="14.25" thickBot="1">
      <c r="A341" s="856" t="s">
        <v>935</v>
      </c>
      <c r="B341" s="850" t="s">
        <v>939</v>
      </c>
      <c r="C341" s="1103">
        <v>0.15</v>
      </c>
      <c r="D341" s="1103">
        <v>0.15</v>
      </c>
      <c r="E341" s="1103">
        <v>0.15</v>
      </c>
      <c r="F341" s="1104">
        <v>0.15</v>
      </c>
    </row>
    <row r="342" spans="1:6" ht="14.25" thickBot="1">
      <c r="A342" s="856" t="s">
        <v>935</v>
      </c>
      <c r="B342" s="850" t="s">
        <v>940</v>
      </c>
      <c r="C342" s="1103">
        <v>0.15</v>
      </c>
      <c r="D342" s="1103">
        <v>0.15</v>
      </c>
      <c r="E342" s="1103">
        <v>0.15</v>
      </c>
      <c r="F342" s="1104">
        <v>0.15</v>
      </c>
    </row>
    <row r="343" spans="1:6" ht="14.25" thickBot="1">
      <c r="A343" s="856" t="s">
        <v>935</v>
      </c>
      <c r="B343" s="850" t="s">
        <v>941</v>
      </c>
      <c r="C343" s="1103">
        <v>0.15</v>
      </c>
      <c r="D343" s="1103">
        <v>0.15</v>
      </c>
      <c r="E343" s="1103">
        <v>0.15</v>
      </c>
      <c r="F343" s="1104">
        <v>0.15</v>
      </c>
    </row>
    <row r="344" spans="1:6" ht="14.25" thickBot="1">
      <c r="A344" s="873" t="s">
        <v>935</v>
      </c>
      <c r="B344" s="866" t="s">
        <v>942</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19300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7"/>
  <sheetViews>
    <sheetView zoomScale="80" zoomScaleNormal="80" workbookViewId="0">
      <selection activeCell="L3" sqref="L3"/>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9" t="s">
        <v>1030</v>
      </c>
      <c r="C1" s="3089"/>
      <c r="D1" s="3089"/>
      <c r="E1" s="3089"/>
      <c r="F1" s="3089"/>
      <c r="G1" s="3085" t="s">
        <v>1031</v>
      </c>
      <c r="H1" s="3085"/>
      <c r="I1" s="3085"/>
      <c r="J1" s="3085"/>
      <c r="K1" s="3085"/>
      <c r="L1" s="3085"/>
      <c r="N1" s="3085" t="s">
        <v>1032</v>
      </c>
      <c r="O1" s="3085"/>
      <c r="P1" s="3085"/>
      <c r="Q1" s="3085"/>
      <c r="R1" s="1548"/>
      <c r="S1" s="3085" t="s">
        <v>1033</v>
      </c>
      <c r="T1" s="3085"/>
      <c r="U1" s="3085"/>
      <c r="V1" s="3085"/>
      <c r="X1" s="3084" t="s">
        <v>1034</v>
      </c>
      <c r="Y1" s="3085"/>
      <c r="Z1" s="3085"/>
      <c r="AA1" s="3085"/>
      <c r="AB1" s="3085"/>
      <c r="AD1" s="3084" t="s">
        <v>1035</v>
      </c>
      <c r="AE1" s="3085"/>
      <c r="AF1" s="3085"/>
      <c r="AG1" s="3085"/>
      <c r="AH1" s="3085"/>
    </row>
    <row r="2" spans="1:34" s="1549" customFormat="1" ht="14.25" thickBot="1">
      <c r="B2" s="1550" t="s">
        <v>1036</v>
      </c>
      <c r="C2" s="1550" t="s">
        <v>1037</v>
      </c>
      <c r="D2" s="1551" t="s">
        <v>1038</v>
      </c>
      <c r="E2" s="1551" t="s">
        <v>1039</v>
      </c>
      <c r="F2" s="1550" t="s">
        <v>1040</v>
      </c>
      <c r="G2" s="1552"/>
      <c r="H2" s="1553"/>
      <c r="I2" s="1550" t="s">
        <v>1257</v>
      </c>
      <c r="J2" s="1551" t="s">
        <v>1258</v>
      </c>
      <c r="K2" s="1551" t="s">
        <v>1259</v>
      </c>
      <c r="L2" s="1550" t="s">
        <v>1260</v>
      </c>
      <c r="N2" s="1550" t="s">
        <v>1036</v>
      </c>
      <c r="O2" s="1551" t="s">
        <v>1261</v>
      </c>
      <c r="P2" s="1551" t="s">
        <v>728</v>
      </c>
      <c r="Q2" s="1550" t="s">
        <v>1040</v>
      </c>
      <c r="R2" s="1554"/>
      <c r="S2" s="1550" t="s">
        <v>1036</v>
      </c>
      <c r="T2" s="1551" t="s">
        <v>1261</v>
      </c>
      <c r="U2" s="1551" t="s">
        <v>728</v>
      </c>
      <c r="V2" s="1550" t="s">
        <v>1040</v>
      </c>
      <c r="X2" s="1550" t="s">
        <v>1041</v>
      </c>
      <c r="Y2" s="1550" t="s">
        <v>1042</v>
      </c>
      <c r="Z2" s="1551" t="s">
        <v>1043</v>
      </c>
      <c r="AA2" s="1551" t="s">
        <v>1044</v>
      </c>
      <c r="AB2" s="1550" t="s">
        <v>1045</v>
      </c>
      <c r="AD2" s="1550" t="s">
        <v>1041</v>
      </c>
      <c r="AE2" s="1550" t="s">
        <v>1042</v>
      </c>
      <c r="AF2" s="1551" t="s">
        <v>1043</v>
      </c>
      <c r="AG2" s="1551" t="s">
        <v>1044</v>
      </c>
      <c r="AH2" s="1550" t="s">
        <v>1045</v>
      </c>
    </row>
    <row r="3" spans="1:34" s="2719" customFormat="1" ht="14.25">
      <c r="A3" s="2730" t="s">
        <v>2807</v>
      </c>
      <c r="B3" s="2720"/>
      <c r="C3" s="2720"/>
      <c r="D3" s="2721"/>
      <c r="E3" s="2721"/>
      <c r="F3" s="2720"/>
      <c r="G3" s="2722"/>
      <c r="H3" s="2723"/>
      <c r="I3" s="2724">
        <f>ROUND(AVERAGE(I4:I24),2)</f>
        <v>2.19</v>
      </c>
      <c r="J3" s="2724">
        <f>ROUND(AVERAGE(J4:J24),2)</f>
        <v>1.53</v>
      </c>
      <c r="K3" s="2724">
        <f>ROUND(AVERAGE(K4:K24),2)</f>
        <v>2.41</v>
      </c>
      <c r="L3" s="2725">
        <f>ROUND(AVERAGE(L4:L24),2)</f>
        <v>1.42</v>
      </c>
      <c r="N3" s="2722"/>
      <c r="O3" s="2726"/>
      <c r="P3" s="2726"/>
      <c r="Q3" s="2726"/>
      <c r="R3" s="2726"/>
      <c r="S3" s="2722"/>
      <c r="T3" s="2726"/>
      <c r="U3" s="2726"/>
      <c r="V3" s="2726"/>
      <c r="W3" s="2729"/>
      <c r="X3" s="2727">
        <f>ROUND(SUMPRODUCT(PRODUCT(1+N3:N$23)),4)</f>
        <v>1.4956</v>
      </c>
      <c r="Y3" s="2727">
        <f>ROUND(SUMPRODUCT(PRODUCT(1+O3:O$23)),4)</f>
        <v>1.3237000000000001</v>
      </c>
      <c r="Z3" s="2727">
        <f t="shared" ref="Z3:Z21" si="0">Y3</f>
        <v>1.3237000000000001</v>
      </c>
      <c r="AA3" s="2727">
        <f>ROUND(SUMPRODUCT(PRODUCT(1+P3:P$23)),4)</f>
        <v>1.554</v>
      </c>
      <c r="AB3" s="2727">
        <f>ROUND(SUMPRODUCT(PRODUCT(1+Q3:Q$23)),4)</f>
        <v>1.3087</v>
      </c>
      <c r="AD3" s="2728">
        <f>ROUND(AVERAGE(I3:I$24)/100,4)</f>
        <v>2.1899999999999999E-2</v>
      </c>
      <c r="AE3" s="2728">
        <f>ROUND(AVERAGE(J3:J$24)/100,4)</f>
        <v>1.5299999999999999E-2</v>
      </c>
      <c r="AF3" s="2728">
        <f t="shared" ref="AF3:AF12" si="1">AE3</f>
        <v>1.5299999999999999E-2</v>
      </c>
      <c r="AG3" s="2728">
        <f>ROUND(AVERAGE(K3:K$24)/100,4)</f>
        <v>2.41E-2</v>
      </c>
      <c r="AH3" s="2728">
        <f>ROUND(AVERAGE(L3:L$24)/100,4)</f>
        <v>1.4200000000000001E-2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32">
        <v>2018</v>
      </c>
      <c r="H5" s="1821">
        <v>4</v>
      </c>
      <c r="I5" s="2712">
        <v>0</v>
      </c>
      <c r="J5" s="2712">
        <v>0</v>
      </c>
      <c r="K5" s="2712">
        <v>0</v>
      </c>
      <c r="L5" s="2713">
        <v>0</v>
      </c>
      <c r="N5" s="1570">
        <f>I5/100</f>
        <v>0</v>
      </c>
      <c r="O5" s="1570">
        <f t="shared" ref="O5" si="6">J5/100</f>
        <v>0</v>
      </c>
      <c r="P5" s="1570">
        <f t="shared" ref="P5" si="7">K5/100</f>
        <v>0</v>
      </c>
      <c r="Q5" s="1570">
        <f t="shared" ref="Q5" si="8">L5/100</f>
        <v>0</v>
      </c>
      <c r="R5" s="1823"/>
      <c r="S5" s="1824"/>
      <c r="T5" s="1823"/>
      <c r="U5" s="1823"/>
      <c r="V5" s="1823"/>
      <c r="W5" s="2718" t="s">
        <v>2806</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2815</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10"/>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2813</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10"/>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2811</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10"/>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2808</v>
      </c>
      <c r="B9" s="1572">
        <v>439</v>
      </c>
      <c r="C9" s="1572">
        <v>327</v>
      </c>
      <c r="D9" s="1572">
        <f t="shared" si="32"/>
        <v>327</v>
      </c>
      <c r="E9" s="1572">
        <v>627</v>
      </c>
      <c r="F9" s="1573">
        <v>283</v>
      </c>
      <c r="G9" s="2717">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2803</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10"/>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1256</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9"/>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1046</v>
      </c>
      <c r="B12" s="1580">
        <f t="shared" si="20"/>
        <v>405.524</v>
      </c>
      <c r="C12" s="1580">
        <f t="shared" ref="C12" si="53">C13*(1+O12)</f>
        <v>307.79840000000002</v>
      </c>
      <c r="D12" s="1580">
        <f t="shared" si="32"/>
        <v>307.79840000000002</v>
      </c>
      <c r="E12" s="1580">
        <f t="shared" si="45"/>
        <v>574.67759999999998</v>
      </c>
      <c r="F12" s="1580">
        <f t="shared" si="45"/>
        <v>270.20280000000002</v>
      </c>
      <c r="G12" s="2710"/>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1047</v>
      </c>
      <c r="B13" s="1572">
        <v>392</v>
      </c>
      <c r="C13" s="1572">
        <v>302</v>
      </c>
      <c r="D13" s="1572">
        <f t="shared" si="32"/>
        <v>302</v>
      </c>
      <c r="E13" s="1572">
        <v>553</v>
      </c>
      <c r="F13" s="1573">
        <v>266</v>
      </c>
      <c r="G13" s="3090">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087"/>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087"/>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088"/>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086">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087"/>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087"/>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088"/>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086">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087"/>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087"/>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088"/>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1215</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1048</v>
      </c>
      <c r="B25" s="1572">
        <v>299</v>
      </c>
      <c r="C25" s="1572">
        <v>252</v>
      </c>
      <c r="D25" s="1572">
        <f t="shared" si="57"/>
        <v>252</v>
      </c>
      <c r="E25" s="1572">
        <v>409</v>
      </c>
      <c r="F25" s="1573">
        <v>227</v>
      </c>
      <c r="G25" s="3091">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1049</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092"/>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1050</v>
      </c>
      <c r="B27" s="1580">
        <f t="shared" si="66"/>
        <v>288.2649053828776</v>
      </c>
      <c r="C27" s="1580">
        <f t="shared" si="66"/>
        <v>243.64564425013293</v>
      </c>
      <c r="D27" s="1580">
        <f t="shared" si="57"/>
        <v>243.64564425013293</v>
      </c>
      <c r="E27" s="1580">
        <f t="shared" si="67"/>
        <v>393.31080825986544</v>
      </c>
      <c r="F27" s="1580">
        <f t="shared" si="67"/>
        <v>223.07903790551154</v>
      </c>
      <c r="G27" s="3092"/>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1051</v>
      </c>
      <c r="B28" s="1580">
        <f t="shared" si="66"/>
        <v>282.50186729015837</v>
      </c>
      <c r="C28" s="1580">
        <f t="shared" si="66"/>
        <v>238.09796174155468</v>
      </c>
      <c r="D28" s="1580">
        <f t="shared" si="57"/>
        <v>238.09796174155468</v>
      </c>
      <c r="E28" s="1580">
        <f t="shared" si="67"/>
        <v>385.33438646014054</v>
      </c>
      <c r="F28" s="1580">
        <f t="shared" si="67"/>
        <v>221.55034055567739</v>
      </c>
      <c r="G28" s="3093"/>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1052</v>
      </c>
      <c r="B29" s="1614">
        <v>278</v>
      </c>
      <c r="C29" s="1614">
        <v>234</v>
      </c>
      <c r="D29" s="1614">
        <f t="shared" si="57"/>
        <v>234</v>
      </c>
      <c r="E29" s="1614">
        <v>379</v>
      </c>
      <c r="F29" s="1615">
        <v>220</v>
      </c>
      <c r="G29" s="3086">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1053</v>
      </c>
      <c r="B30" s="1580">
        <f>B29/(1+N29)</f>
        <v>275.49301357645425</v>
      </c>
      <c r="C30" s="1580">
        <f>C29/(1+O29)</f>
        <v>232.41954707985698</v>
      </c>
      <c r="D30" s="1580">
        <f t="shared" si="57"/>
        <v>232.41954707985698</v>
      </c>
      <c r="E30" s="1580">
        <f t="shared" ref="E30:F32" si="68">E29/(1+P29)</f>
        <v>375.32184591008121</v>
      </c>
      <c r="F30" s="1580">
        <f t="shared" si="68"/>
        <v>218.03766105054513</v>
      </c>
      <c r="G30" s="3087"/>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1054</v>
      </c>
      <c r="B31" s="1580">
        <f>B30/(1+N30)</f>
        <v>275.24529281292263</v>
      </c>
      <c r="C31" s="1580">
        <f>C30/(1+O30)</f>
        <v>231.74747938962707</v>
      </c>
      <c r="D31" s="1580">
        <f t="shared" si="57"/>
        <v>231.74747938962707</v>
      </c>
      <c r="E31" s="1580">
        <f t="shared" si="68"/>
        <v>375.35938184826603</v>
      </c>
      <c r="F31" s="1580">
        <f t="shared" si="68"/>
        <v>216.78033510692495</v>
      </c>
      <c r="G31" s="3087"/>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1055</v>
      </c>
      <c r="B32" s="1580">
        <f>B31/(1+N31)</f>
        <v>275.19025476197027</v>
      </c>
      <c r="C32" s="1616">
        <v>232</v>
      </c>
      <c r="D32" s="1616">
        <f t="shared" si="57"/>
        <v>232</v>
      </c>
      <c r="E32" s="1580">
        <f t="shared" si="68"/>
        <v>375.65990977608692</v>
      </c>
      <c r="F32" s="1580">
        <f t="shared" si="68"/>
        <v>214.12518283971252</v>
      </c>
      <c r="G32" s="3088"/>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1056</v>
      </c>
      <c r="B33" s="1572">
        <v>275</v>
      </c>
      <c r="C33" s="1572">
        <v>232</v>
      </c>
      <c r="D33" s="1572">
        <f t="shared" si="57"/>
        <v>232</v>
      </c>
      <c r="E33" s="1572">
        <v>376</v>
      </c>
      <c r="F33" s="1573">
        <v>213</v>
      </c>
      <c r="G33" s="3086">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1057</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087">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1058</v>
      </c>
      <c r="B35" s="1580">
        <f t="shared" si="69"/>
        <v>275.19335084830601</v>
      </c>
      <c r="C35" s="1580">
        <f t="shared" si="69"/>
        <v>230.18088050139744</v>
      </c>
      <c r="D35" s="1580">
        <f t="shared" si="57"/>
        <v>230.18088050139744</v>
      </c>
      <c r="E35" s="1580">
        <f t="shared" si="70"/>
        <v>377.58482925212331</v>
      </c>
      <c r="F35" s="1580">
        <f t="shared" si="70"/>
        <v>210.90687997847917</v>
      </c>
      <c r="G35" s="3087">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1059</v>
      </c>
      <c r="B36" s="1580">
        <f t="shared" si="69"/>
        <v>276.29854502841971</v>
      </c>
      <c r="C36" s="1580">
        <f t="shared" si="69"/>
        <v>229.79023709833027</v>
      </c>
      <c r="D36" s="1580">
        <f t="shared" si="57"/>
        <v>229.79023709833027</v>
      </c>
      <c r="E36" s="1580">
        <f t="shared" si="70"/>
        <v>379.78759731655936</v>
      </c>
      <c r="F36" s="1580">
        <f t="shared" si="70"/>
        <v>211.32953905659235</v>
      </c>
      <c r="G36" s="3088">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1060</v>
      </c>
      <c r="B37" s="1572">
        <v>269</v>
      </c>
      <c r="C37" s="1572">
        <v>221</v>
      </c>
      <c r="D37" s="1572">
        <f t="shared" si="57"/>
        <v>221</v>
      </c>
      <c r="E37" s="1572">
        <v>373</v>
      </c>
      <c r="F37" s="1573">
        <v>196</v>
      </c>
      <c r="G37" s="3086">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1061</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087">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1062</v>
      </c>
      <c r="B39" s="1580">
        <f t="shared" si="71"/>
        <v>242.95398227588385</v>
      </c>
      <c r="C39" s="1580">
        <f t="shared" si="71"/>
        <v>199.59137053614126</v>
      </c>
      <c r="D39" s="1580">
        <f t="shared" si="57"/>
        <v>199.59137053614126</v>
      </c>
      <c r="E39" s="1580">
        <f t="shared" si="72"/>
        <v>335.92189522342125</v>
      </c>
      <c r="F39" s="1580">
        <f t="shared" si="72"/>
        <v>183.10139991109489</v>
      </c>
      <c r="G39" s="3087">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1063</v>
      </c>
      <c r="B40" s="1580">
        <f t="shared" si="71"/>
        <v>232.06990378821649</v>
      </c>
      <c r="C40" s="1580">
        <f t="shared" si="71"/>
        <v>192.74878854286936</v>
      </c>
      <c r="D40" s="1580">
        <f t="shared" si="57"/>
        <v>192.74878854286936</v>
      </c>
      <c r="E40" s="1580">
        <f t="shared" si="72"/>
        <v>319.71247284992984</v>
      </c>
      <c r="F40" s="1580">
        <f t="shared" si="72"/>
        <v>175.67053622862409</v>
      </c>
      <c r="G40" s="3088">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1064</v>
      </c>
      <c r="B41" s="1572">
        <v>220</v>
      </c>
      <c r="C41" s="1572">
        <v>187</v>
      </c>
      <c r="D41" s="1572">
        <f t="shared" si="57"/>
        <v>187</v>
      </c>
      <c r="E41" s="1572">
        <v>301</v>
      </c>
      <c r="F41" s="1573">
        <v>168</v>
      </c>
      <c r="G41" s="3086">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1065</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087">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1066</v>
      </c>
      <c r="B43" s="1580">
        <f t="shared" si="73"/>
        <v>210.630522469011</v>
      </c>
      <c r="C43" s="1580">
        <f t="shared" si="73"/>
        <v>181.69567812247232</v>
      </c>
      <c r="D43" s="1580">
        <f t="shared" si="57"/>
        <v>181.69567812247232</v>
      </c>
      <c r="E43" s="1580">
        <f t="shared" si="74"/>
        <v>286.13517466736738</v>
      </c>
      <c r="F43" s="1580">
        <f t="shared" si="74"/>
        <v>165.47535084591149</v>
      </c>
      <c r="G43" s="3087">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1067</v>
      </c>
      <c r="B44" s="1580">
        <f t="shared" si="73"/>
        <v>208.83454537875372</v>
      </c>
      <c r="C44" s="1580">
        <f t="shared" si="73"/>
        <v>183.77230517090351</v>
      </c>
      <c r="D44" s="1580">
        <f t="shared" si="57"/>
        <v>183.77230517090351</v>
      </c>
      <c r="E44" s="1580">
        <f t="shared" si="74"/>
        <v>281.10342338870947</v>
      </c>
      <c r="F44" s="1580">
        <f t="shared" si="74"/>
        <v>168.97309388942256</v>
      </c>
      <c r="G44" s="3088">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1068</v>
      </c>
      <c r="B45" s="1614">
        <v>214</v>
      </c>
      <c r="C45" s="1614">
        <v>188</v>
      </c>
      <c r="D45" s="1614">
        <f t="shared" si="57"/>
        <v>188</v>
      </c>
      <c r="E45" s="1614">
        <v>289</v>
      </c>
      <c r="F45" s="1615">
        <v>166</v>
      </c>
      <c r="G45" s="3086">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1069</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087">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1070</v>
      </c>
      <c r="B47" s="1580">
        <f t="shared" si="75"/>
        <v>206.31694671589116</v>
      </c>
      <c r="C47" s="1580">
        <f t="shared" si="75"/>
        <v>183.61041121036101</v>
      </c>
      <c r="D47" s="1580">
        <f t="shared" si="57"/>
        <v>183.61041121036101</v>
      </c>
      <c r="E47" s="1580">
        <f t="shared" si="76"/>
        <v>276.66850301795557</v>
      </c>
      <c r="F47" s="1580">
        <f t="shared" si="76"/>
        <v>165.1360938278614</v>
      </c>
      <c r="G47" s="3087">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1071</v>
      </c>
      <c r="B48" s="1617">
        <f t="shared" si="75"/>
        <v>196.62341248059772</v>
      </c>
      <c r="C48" s="1617">
        <f t="shared" si="75"/>
        <v>170.99125648199012</v>
      </c>
      <c r="D48" s="1617">
        <f t="shared" si="57"/>
        <v>170.99125648199012</v>
      </c>
      <c r="E48" s="1617">
        <f t="shared" si="76"/>
        <v>266.07857570490052</v>
      </c>
      <c r="F48" s="1617">
        <f t="shared" si="76"/>
        <v>154.53499328828505</v>
      </c>
      <c r="G48" s="3088">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1072</v>
      </c>
      <c r="B49" s="1572">
        <v>188</v>
      </c>
      <c r="C49" s="1572">
        <v>165</v>
      </c>
      <c r="D49" s="1572">
        <f t="shared" si="57"/>
        <v>165</v>
      </c>
      <c r="E49" s="1572">
        <v>254</v>
      </c>
      <c r="F49" s="1573">
        <v>148</v>
      </c>
      <c r="G49" s="3086">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1073</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087">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1074</v>
      </c>
      <c r="B51" s="1580">
        <f t="shared" si="79"/>
        <v>168.82017748715555</v>
      </c>
      <c r="C51" s="1580">
        <f t="shared" si="79"/>
        <v>148.06267029972753</v>
      </c>
      <c r="D51" s="1580">
        <f t="shared" si="57"/>
        <v>148.06267029972753</v>
      </c>
      <c r="E51" s="1580">
        <f t="shared" si="80"/>
        <v>216.46288379323747</v>
      </c>
      <c r="F51" s="1580">
        <f t="shared" si="80"/>
        <v>134.23529411764704</v>
      </c>
      <c r="G51" s="3087">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1075</v>
      </c>
      <c r="B52" s="1580">
        <f t="shared" si="79"/>
        <v>163.84913591779542</v>
      </c>
      <c r="C52" s="1580">
        <f t="shared" si="79"/>
        <v>145.0283378746594</v>
      </c>
      <c r="D52" s="1580">
        <f t="shared" si="57"/>
        <v>145.0283378746594</v>
      </c>
      <c r="E52" s="1580">
        <f t="shared" si="80"/>
        <v>204.95180722891567</v>
      </c>
      <c r="F52" s="1580">
        <f t="shared" si="80"/>
        <v>125.95920303605313</v>
      </c>
      <c r="G52" s="3088">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1076</v>
      </c>
      <c r="B53" s="1593">
        <v>159</v>
      </c>
      <c r="C53" s="1593">
        <v>141</v>
      </c>
      <c r="D53" s="1593">
        <f t="shared" si="57"/>
        <v>141</v>
      </c>
      <c r="E53" s="1593">
        <v>195</v>
      </c>
      <c r="F53" s="1594">
        <v>122</v>
      </c>
      <c r="G53" s="3086">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1077</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087">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1078</v>
      </c>
      <c r="B55" s="1580">
        <f t="shared" si="83"/>
        <v>146.57412060301507</v>
      </c>
      <c r="C55" s="1580">
        <f t="shared" si="83"/>
        <v>136.46831955922866</v>
      </c>
      <c r="D55" s="1580">
        <f t="shared" si="57"/>
        <v>136.46831955922866</v>
      </c>
      <c r="E55" s="1580">
        <f t="shared" si="84"/>
        <v>166.73864894795128</v>
      </c>
      <c r="F55" s="1580">
        <f t="shared" si="84"/>
        <v>115.05882352941177</v>
      </c>
      <c r="G55" s="3087">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1079</v>
      </c>
      <c r="B56" s="1580">
        <f t="shared" si="83"/>
        <v>144.04145728643215</v>
      </c>
      <c r="C56" s="1580">
        <f t="shared" si="83"/>
        <v>136.12396694214877</v>
      </c>
      <c r="D56" s="1580">
        <f t="shared" si="57"/>
        <v>136.12396694214877</v>
      </c>
      <c r="E56" s="1580">
        <f t="shared" si="84"/>
        <v>158.32225913621264</v>
      </c>
      <c r="F56" s="1580">
        <f t="shared" si="84"/>
        <v>114.04278074866311</v>
      </c>
      <c r="G56" s="3088">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1080</v>
      </c>
      <c r="B57" s="1593">
        <v>138</v>
      </c>
      <c r="C57" s="1593">
        <v>131</v>
      </c>
      <c r="D57" s="1593">
        <f t="shared" si="57"/>
        <v>131</v>
      </c>
      <c r="E57" s="1593">
        <v>155</v>
      </c>
      <c r="F57" s="1594">
        <v>114</v>
      </c>
      <c r="G57" s="3086">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1081</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087">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1082</v>
      </c>
      <c r="B59" s="1580">
        <f t="shared" si="87"/>
        <v>124.29032258064517</v>
      </c>
      <c r="C59" s="1580">
        <f t="shared" si="87"/>
        <v>123.8968609865471</v>
      </c>
      <c r="D59" s="1580">
        <f t="shared" si="57"/>
        <v>123.8968609865471</v>
      </c>
      <c r="E59" s="1580">
        <f t="shared" si="88"/>
        <v>138.00507614213197</v>
      </c>
      <c r="F59" s="1580">
        <f t="shared" si="88"/>
        <v>107.96106557377048</v>
      </c>
      <c r="G59" s="3087">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1083</v>
      </c>
      <c r="B60" s="1580">
        <f t="shared" si="87"/>
        <v>122.57204301075269</v>
      </c>
      <c r="C60" s="1580">
        <f t="shared" si="87"/>
        <v>123.4932735426009</v>
      </c>
      <c r="D60" s="1580">
        <f t="shared" si="57"/>
        <v>123.4932735426009</v>
      </c>
      <c r="E60" s="1580">
        <f t="shared" si="88"/>
        <v>129.82233502538071</v>
      </c>
      <c r="F60" s="1580">
        <f t="shared" si="88"/>
        <v>107.39446721311475</v>
      </c>
      <c r="G60" s="3088">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1084</v>
      </c>
      <c r="B61" s="1614">
        <v>121</v>
      </c>
      <c r="C61" s="1614">
        <v>122</v>
      </c>
      <c r="D61" s="1614">
        <f t="shared" si="57"/>
        <v>122</v>
      </c>
      <c r="E61" s="1614">
        <v>124</v>
      </c>
      <c r="F61" s="1615">
        <v>107</v>
      </c>
      <c r="G61" s="3086">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1085</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087">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1086</v>
      </c>
      <c r="B63" s="1580">
        <f t="shared" si="91"/>
        <v>116.99099099099099</v>
      </c>
      <c r="C63" s="1580">
        <f t="shared" si="91"/>
        <v>118.84848484848486</v>
      </c>
      <c r="D63" s="1580">
        <f t="shared" si="57"/>
        <v>118.84848484848486</v>
      </c>
      <c r="E63" s="1580">
        <f t="shared" si="92"/>
        <v>117.60960960960961</v>
      </c>
      <c r="F63" s="1580">
        <f t="shared" si="92"/>
        <v>104</v>
      </c>
      <c r="G63" s="3087">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1087</v>
      </c>
      <c r="B64" s="1617">
        <f t="shared" si="91"/>
        <v>112.48648648648648</v>
      </c>
      <c r="C64" s="1617">
        <f t="shared" si="91"/>
        <v>115.21212121212122</v>
      </c>
      <c r="D64" s="1617">
        <f t="shared" si="57"/>
        <v>115.21212121212122</v>
      </c>
      <c r="E64" s="1617">
        <f t="shared" si="92"/>
        <v>110.4024024024024</v>
      </c>
      <c r="F64" s="1617">
        <f t="shared" si="92"/>
        <v>104</v>
      </c>
      <c r="G64" s="3088">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1088</v>
      </c>
      <c r="B65" s="1635">
        <v>111</v>
      </c>
      <c r="C65" s="1635">
        <v>114</v>
      </c>
      <c r="D65" s="1635">
        <f t="shared" si="57"/>
        <v>114</v>
      </c>
      <c r="E65" s="1635">
        <v>108</v>
      </c>
      <c r="F65" s="1636">
        <v>104</v>
      </c>
      <c r="G65" s="3086">
        <v>2003</v>
      </c>
      <c r="H65" s="1625">
        <v>4</v>
      </c>
      <c r="I65" s="1637"/>
      <c r="J65" s="1637"/>
      <c r="K65" s="1637"/>
      <c r="L65" s="1637"/>
      <c r="N65" s="1638"/>
      <c r="O65" s="1637"/>
      <c r="P65" s="1637"/>
      <c r="Q65" s="1637"/>
      <c r="S65" s="1638"/>
      <c r="T65" s="1637"/>
      <c r="U65" s="1637"/>
      <c r="V65" s="1637"/>
      <c r="X65" s="1629"/>
      <c r="Y65" s="1629"/>
      <c r="Z65" s="1629"/>
    </row>
    <row r="66" spans="1:26">
      <c r="A66" s="1563" t="s">
        <v>1089</v>
      </c>
      <c r="B66" s="1639">
        <f t="shared" ref="B66:C68" si="93">B67+(B$65-B$69)/4</f>
        <v>109.75</v>
      </c>
      <c r="C66" s="1639">
        <f t="shared" si="93"/>
        <v>112.25</v>
      </c>
      <c r="D66" s="1639">
        <f t="shared" si="57"/>
        <v>112.25</v>
      </c>
      <c r="E66" s="1639">
        <f t="shared" ref="E66:F68" si="94">E67+(E$65-E$69)/4</f>
        <v>107.25</v>
      </c>
      <c r="F66" s="1639">
        <f t="shared" si="94"/>
        <v>103.5</v>
      </c>
      <c r="G66" s="3087">
        <v>2003</v>
      </c>
      <c r="H66" s="1590">
        <v>3</v>
      </c>
      <c r="I66" s="1637"/>
      <c r="J66" s="1637"/>
      <c r="K66" s="1637"/>
      <c r="L66" s="1637"/>
      <c r="X66" s="1629"/>
      <c r="Y66" s="1629"/>
      <c r="Z66" s="1629"/>
    </row>
    <row r="67" spans="1:26">
      <c r="A67" s="1563" t="s">
        <v>1090</v>
      </c>
      <c r="B67" s="1639">
        <f t="shared" si="93"/>
        <v>108.5</v>
      </c>
      <c r="C67" s="1639">
        <f t="shared" si="93"/>
        <v>110.5</v>
      </c>
      <c r="D67" s="1639">
        <f t="shared" si="57"/>
        <v>110.5</v>
      </c>
      <c r="E67" s="1639">
        <f t="shared" si="94"/>
        <v>106.5</v>
      </c>
      <c r="F67" s="1639">
        <f t="shared" si="94"/>
        <v>103</v>
      </c>
      <c r="G67" s="3087">
        <v>2003</v>
      </c>
      <c r="H67" s="1567">
        <v>2</v>
      </c>
      <c r="I67" s="1637"/>
      <c r="J67" s="1637"/>
      <c r="K67" s="1637"/>
      <c r="L67" s="1637"/>
      <c r="X67" s="1629"/>
      <c r="Y67" s="1629"/>
      <c r="Z67" s="1629"/>
    </row>
    <row r="68" spans="1:26" ht="13.5" thickBot="1">
      <c r="A68" s="1563" t="s">
        <v>1091</v>
      </c>
      <c r="B68" s="1639">
        <f t="shared" si="93"/>
        <v>107.25</v>
      </c>
      <c r="C68" s="1639">
        <f t="shared" si="93"/>
        <v>108.75</v>
      </c>
      <c r="D68" s="1639">
        <f t="shared" si="57"/>
        <v>108.75</v>
      </c>
      <c r="E68" s="1639">
        <f t="shared" si="94"/>
        <v>105.75</v>
      </c>
      <c r="F68" s="1639">
        <f t="shared" si="94"/>
        <v>102.5</v>
      </c>
      <c r="G68" s="3088">
        <v>2003</v>
      </c>
      <c r="H68" s="1640">
        <v>1</v>
      </c>
      <c r="I68" s="1637"/>
      <c r="J68" s="1637"/>
      <c r="K68" s="1637"/>
      <c r="L68" s="1637"/>
      <c r="S68" s="1575"/>
      <c r="T68" s="1576"/>
      <c r="U68" s="1576"/>
      <c r="X68" s="1629"/>
      <c r="Y68" s="1629"/>
      <c r="Z68" s="1629"/>
    </row>
    <row r="69" spans="1:26" ht="13.5" thickBot="1">
      <c r="A69" s="1563" t="s">
        <v>1092</v>
      </c>
      <c r="B69" s="1641">
        <v>106</v>
      </c>
      <c r="C69" s="1641">
        <v>107</v>
      </c>
      <c r="D69" s="1641">
        <f t="shared" si="57"/>
        <v>107</v>
      </c>
      <c r="E69" s="1641">
        <v>105</v>
      </c>
      <c r="F69" s="1642">
        <v>102</v>
      </c>
      <c r="G69" s="3086">
        <v>2002</v>
      </c>
      <c r="H69" s="1585">
        <v>4</v>
      </c>
      <c r="I69" s="1637"/>
      <c r="J69" s="1637"/>
      <c r="K69" s="1637"/>
      <c r="L69" s="1637"/>
      <c r="N69" s="1638"/>
      <c r="O69" s="1637"/>
      <c r="P69" s="1637"/>
      <c r="Q69" s="1637"/>
      <c r="S69" s="1638"/>
      <c r="T69" s="1637"/>
      <c r="U69" s="1637"/>
      <c r="V69" s="1637"/>
      <c r="X69" s="1629"/>
      <c r="Y69" s="1629"/>
      <c r="Z69" s="1629"/>
    </row>
    <row r="70" spans="1:26">
      <c r="A70" s="1563" t="s">
        <v>1093</v>
      </c>
      <c r="B70" s="1639">
        <f t="shared" ref="B70:C72" si="95">B71+(B$69-B$73)/4</f>
        <v>105</v>
      </c>
      <c r="C70" s="1639">
        <f t="shared" si="95"/>
        <v>106</v>
      </c>
      <c r="D70" s="1639">
        <f t="shared" si="57"/>
        <v>106</v>
      </c>
      <c r="E70" s="1639">
        <f t="shared" ref="E70:F72" si="96">E71+(E$69-E$73)/4</f>
        <v>104.5</v>
      </c>
      <c r="F70" s="1639">
        <f t="shared" si="96"/>
        <v>101.5</v>
      </c>
      <c r="G70" s="3087">
        <v>2002</v>
      </c>
      <c r="H70" s="1590">
        <v>3</v>
      </c>
      <c r="I70" s="1637"/>
      <c r="J70" s="1637"/>
      <c r="K70" s="1637"/>
      <c r="L70" s="1637"/>
      <c r="X70" s="1629"/>
      <c r="Y70" s="1629"/>
      <c r="Z70" s="1629"/>
    </row>
    <row r="71" spans="1:26">
      <c r="A71" s="1563" t="s">
        <v>1094</v>
      </c>
      <c r="B71" s="1639">
        <f t="shared" si="95"/>
        <v>104</v>
      </c>
      <c r="C71" s="1639">
        <f t="shared" si="95"/>
        <v>105</v>
      </c>
      <c r="D71" s="1639">
        <f t="shared" si="57"/>
        <v>105</v>
      </c>
      <c r="E71" s="1639">
        <f t="shared" si="96"/>
        <v>104</v>
      </c>
      <c r="F71" s="1639">
        <f t="shared" si="96"/>
        <v>101</v>
      </c>
      <c r="G71" s="3087">
        <v>2002</v>
      </c>
      <c r="H71" s="1567">
        <v>2</v>
      </c>
      <c r="I71" s="1637"/>
      <c r="J71" s="1637"/>
      <c r="K71" s="1637"/>
      <c r="L71" s="1637"/>
      <c r="X71" s="1629"/>
      <c r="Y71" s="1629"/>
      <c r="Z71" s="1629"/>
    </row>
    <row r="72" spans="1:26" s="1601" customFormat="1" ht="13.5" thickBot="1">
      <c r="A72" s="1597" t="s">
        <v>1095</v>
      </c>
      <c r="B72" s="1643">
        <f t="shared" si="95"/>
        <v>103</v>
      </c>
      <c r="C72" s="1643">
        <f t="shared" si="95"/>
        <v>104</v>
      </c>
      <c r="D72" s="1643">
        <f t="shared" si="57"/>
        <v>104</v>
      </c>
      <c r="E72" s="1643">
        <f t="shared" si="96"/>
        <v>103.5</v>
      </c>
      <c r="F72" s="1643">
        <f t="shared" si="96"/>
        <v>100.5</v>
      </c>
      <c r="G72" s="3088">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1096</v>
      </c>
      <c r="G75" s="1653"/>
      <c r="N75" s="1653"/>
      <c r="S75" s="1653"/>
    </row>
    <row r="76" spans="1:26" s="1652" customFormat="1">
      <c r="A76" s="1652" t="s">
        <v>1097</v>
      </c>
      <c r="G76" s="1653"/>
      <c r="N76" s="1653"/>
      <c r="S76" s="1653"/>
    </row>
    <row r="77" spans="1:26" s="1652" customFormat="1">
      <c r="A77" s="1652" t="s">
        <v>1098</v>
      </c>
      <c r="G77" s="1653"/>
      <c r="I77" s="1654"/>
      <c r="J77" s="1654"/>
      <c r="K77" s="1654"/>
      <c r="L77" s="1654"/>
      <c r="N77" s="1655"/>
      <c r="O77" s="1654"/>
      <c r="P77" s="1654"/>
      <c r="Q77" s="1654"/>
      <c r="S77" s="1655"/>
      <c r="T77" s="1654"/>
      <c r="U77" s="1654"/>
      <c r="V77" s="1654"/>
    </row>
    <row r="78" spans="1:26" s="1652" customFormat="1">
      <c r="A78" s="1652" t="s">
        <v>1099</v>
      </c>
      <c r="G78" s="1653"/>
      <c r="N78" s="1653"/>
      <c r="S78" s="1653"/>
    </row>
    <row r="85" spans="7:22" ht="13.5" thickBot="1"/>
    <row r="86" spans="7:22">
      <c r="G86" s="1574"/>
      <c r="S86" s="1656" t="s">
        <v>1100</v>
      </c>
      <c r="T86" s="1657" t="s">
        <v>1101</v>
      </c>
      <c r="U86" s="1657" t="s">
        <v>1102</v>
      </c>
      <c r="V86" s="1657" t="s">
        <v>1103</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1182</v>
      </c>
      <c r="C1" s="1807">
        <f>项目基本情况!D2</f>
        <v>42961</v>
      </c>
      <c r="D1" s="1802" t="s">
        <v>1183</v>
      </c>
      <c r="E1" s="1808">
        <f>'数据-取费表'!B23</f>
        <v>1.5</v>
      </c>
      <c r="F1" s="1802" t="s">
        <v>1184</v>
      </c>
      <c r="G1" s="1809">
        <f ca="1">INDIRECT("d"&amp;$K$1)/100</f>
        <v>4.7500000000000001E-2</v>
      </c>
      <c r="H1" s="1802" t="s">
        <v>1214</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1185</v>
      </c>
      <c r="E2" s="1744"/>
      <c r="F2" s="1744" t="s">
        <v>1186</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1187</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1188</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1189</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1190</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1191</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1192</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1193</v>
      </c>
      <c r="C10" s="1772"/>
      <c r="D10" s="1772"/>
      <c r="E10" s="1772"/>
      <c r="F10" s="1772"/>
      <c r="G10" s="1772"/>
      <c r="H10" s="1772"/>
      <c r="I10" s="1746"/>
      <c r="J10" s="1746"/>
      <c r="K10" s="1772"/>
      <c r="L10" s="1773" t="s">
        <v>1194</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1195</v>
      </c>
      <c r="C11" s="1777" t="s">
        <v>1196</v>
      </c>
      <c r="D11" s="1778" t="s">
        <v>1197</v>
      </c>
      <c r="E11" s="1779"/>
      <c r="F11" s="1778" t="s">
        <v>1198</v>
      </c>
      <c r="G11" s="1780"/>
      <c r="H11" s="1779"/>
      <c r="I11" s="1778" t="s">
        <v>1199</v>
      </c>
      <c r="J11" s="1779"/>
      <c r="K11" s="1775"/>
      <c r="L11" s="1776" t="s">
        <v>1195</v>
      </c>
      <c r="M11" s="1777" t="s">
        <v>1196</v>
      </c>
      <c r="N11" s="1776" t="s">
        <v>1200</v>
      </c>
      <c r="O11" s="1778" t="s">
        <v>1201</v>
      </c>
      <c r="P11" s="1780"/>
      <c r="Q11" s="1780"/>
      <c r="R11" s="1780"/>
      <c r="S11" s="1780"/>
      <c r="T11" s="1779"/>
      <c r="U11" s="1778" t="s">
        <v>1202</v>
      </c>
      <c r="V11" s="1780"/>
      <c r="W11" s="1779"/>
      <c r="X11" s="1776" t="s">
        <v>1203</v>
      </c>
      <c r="Y11" s="1776" t="s">
        <v>1204</v>
      </c>
      <c r="Z11" s="1776" t="s">
        <v>1205</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1206</v>
      </c>
      <c r="E12" s="1785" t="s">
        <v>1207</v>
      </c>
      <c r="F12" s="1785" t="s">
        <v>1208</v>
      </c>
      <c r="G12" s="1785" t="s">
        <v>1209</v>
      </c>
      <c r="H12" s="1785" t="s">
        <v>1191</v>
      </c>
      <c r="I12" s="1786" t="s">
        <v>1210</v>
      </c>
      <c r="J12" s="1786" t="s">
        <v>1210</v>
      </c>
      <c r="K12" s="1782"/>
      <c r="L12" s="1783"/>
      <c r="M12" s="1784"/>
      <c r="N12" s="1783"/>
      <c r="O12" s="1786" t="s">
        <v>1211</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1212</v>
      </c>
      <c r="C13" s="1790">
        <v>42301</v>
      </c>
      <c r="D13" s="1791">
        <v>4.3499999999999996</v>
      </c>
      <c r="E13" s="1791">
        <v>4.3499999999999996</v>
      </c>
      <c r="F13" s="1791">
        <v>4.75</v>
      </c>
      <c r="G13" s="1791">
        <v>4.75</v>
      </c>
      <c r="H13" s="1791">
        <v>4.9000000000000004</v>
      </c>
      <c r="I13" s="1791">
        <v>2.75</v>
      </c>
      <c r="J13" s="1791">
        <v>3.25</v>
      </c>
      <c r="K13" s="1788"/>
      <c r="L13" s="1789" t="s">
        <v>1212</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1213</v>
      </c>
      <c r="Y42" s="1795" t="s">
        <v>1213</v>
      </c>
      <c r="Z42" s="1795" t="s">
        <v>1213</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1213</v>
      </c>
      <c r="Y43" s="1795" t="s">
        <v>1213</v>
      </c>
      <c r="Z43" s="1795" t="s">
        <v>1213</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1213</v>
      </c>
      <c r="Y44" s="1795" t="s">
        <v>1213</v>
      </c>
      <c r="Z44" s="1795" t="s">
        <v>1213</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1213</v>
      </c>
      <c r="Y45" s="1795" t="s">
        <v>1213</v>
      </c>
      <c r="Z45" s="1795" t="s">
        <v>1213</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1213</v>
      </c>
      <c r="Y46" s="1795" t="s">
        <v>1213</v>
      </c>
      <c r="Z46" s="1795" t="s">
        <v>1213</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1213</v>
      </c>
      <c r="Y47" s="1795" t="s">
        <v>1213</v>
      </c>
      <c r="Z47" s="1795" t="s">
        <v>1213</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1213</v>
      </c>
      <c r="Y48" s="1795" t="s">
        <v>1213</v>
      </c>
      <c r="Z48" s="1795" t="s">
        <v>1213</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1213</v>
      </c>
      <c r="Y49" s="1795" t="s">
        <v>1213</v>
      </c>
      <c r="Z49" s="1795" t="s">
        <v>1213</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1213</v>
      </c>
      <c r="Y50" s="1795" t="s">
        <v>1213</v>
      </c>
      <c r="Z50" s="1795" t="s">
        <v>1213</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1213</v>
      </c>
      <c r="V51" s="1795" t="s">
        <v>1213</v>
      </c>
      <c r="W51" s="1795" t="s">
        <v>1213</v>
      </c>
      <c r="X51" s="1795" t="s">
        <v>1213</v>
      </c>
      <c r="Y51" s="1795" t="s">
        <v>1213</v>
      </c>
      <c r="Z51" s="1795" t="s">
        <v>1213</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1213</v>
      </c>
      <c r="J55" s="1795" t="s">
        <v>1213</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B28" workbookViewId="0">
      <selection activeCell="N66" sqref="N66"/>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A1"/>
  <sheetViews>
    <sheetView topLeftCell="A97" workbookViewId="0">
      <selection activeCell="L150" sqref="L15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780</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781</v>
      </c>
      <c r="D5" s="2760"/>
      <c r="E5" s="1927"/>
    </row>
    <row r="6" spans="1:5" ht="14.25">
      <c r="A6" s="1927"/>
      <c r="B6" s="1932" t="str">
        <f>项目基本情况!I1</f>
        <v>北京市房地产</v>
      </c>
      <c r="C6" s="2761">
        <f>项目基本情况!C12</f>
        <v>689.57</v>
      </c>
      <c r="D6" s="2761"/>
      <c r="E6" s="1927"/>
    </row>
    <row r="7" spans="1:5" ht="14.25">
      <c r="A7" s="1927"/>
      <c r="B7" s="2755" t="s">
        <v>782</v>
      </c>
      <c r="C7" s="1933" t="str">
        <f>IF('数据-取费表'!B3="万元","总价（万元）","总价（元）")</f>
        <v>总价（元）</v>
      </c>
      <c r="D7" s="1934">
        <f ca="1">IF('数据-取费表'!E3="否",结果表!I102,'结果表 (1修多)'!I103)</f>
        <v>17243182</v>
      </c>
      <c r="E7" s="1927"/>
    </row>
    <row r="8" spans="1:5" ht="28.5">
      <c r="A8" s="1927"/>
      <c r="B8" s="2755"/>
      <c r="C8" s="1935" t="s">
        <v>1172</v>
      </c>
      <c r="D8" s="1936" t="str">
        <f ca="1">IF('数据-取费表'!B3="万元",NUMBERSTRING(INT(D7*10000),2)&amp;"元整",NUMBERSTRING(INT(D7),2)&amp;"元整")</f>
        <v>壹仟柒佰贰拾肆万叁仟壹佰捌拾贰元整</v>
      </c>
      <c r="E8" s="1927"/>
    </row>
    <row r="9" spans="1:5" ht="14.25">
      <c r="A9" s="1927"/>
      <c r="B9" s="2755"/>
      <c r="C9" s="1937" t="s">
        <v>1270</v>
      </c>
      <c r="D9" s="1934">
        <f ca="1">IF('数据-取费表'!E3="否",结果表!I103,'结果表 (1修多)'!I104)</f>
        <v>25006</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1172</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17243182</v>
      </c>
      <c r="E15" s="1927"/>
    </row>
    <row r="16" spans="1:5" ht="28.5">
      <c r="A16" s="1927"/>
      <c r="B16" s="2762"/>
      <c r="C16" s="1935" t="s">
        <v>1172</v>
      </c>
      <c r="D16" s="1934" t="str">
        <f ca="1">IF('数据-取费表'!B3="万元",NUMBERSTRING(INT(D15*10000),2)&amp;"元整",NUMBERSTRING(INT(D15),2)&amp;"元整")</f>
        <v>壹仟柒佰贰拾肆万叁仟壹佰捌拾贰元整</v>
      </c>
      <c r="E16" s="1927"/>
    </row>
    <row r="17" spans="1:5" ht="14.25">
      <c r="A17" s="1927"/>
      <c r="B17" s="2762"/>
      <c r="C17" s="1937" t="s">
        <v>1270</v>
      </c>
      <c r="D17" s="1934">
        <f ca="1">IF('数据-取费表'!E3="否",结果表!I111,'结果表 (1修多)'!I112)</f>
        <v>25006</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1172</v>
      </c>
      <c r="D19" s="1934" t="e">
        <f>IF('数据-取费表'!B3="万元",NUMBERSTRING(INT(D18*10000),2)&amp;"元整",NUMBERSTRING(INT(D18),2)&amp;"元整")</f>
        <v>#VALUE!</v>
      </c>
      <c r="E19" s="1927"/>
    </row>
    <row r="20" spans="1:5" ht="14.25">
      <c r="A20" s="1927"/>
      <c r="B20" s="2762"/>
      <c r="C20" s="1937" t="s">
        <v>1270</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1172</v>
      </c>
      <c r="D22" s="1936" t="e">
        <f>IF('数据-取费表'!B3="万元",NUMBERSTRING(INT(D21*10000),2)&amp;"元整",NUMBERSTRING(INT(D21),2)&amp;"元整")</f>
        <v>#VALUE!</v>
      </c>
      <c r="E22" s="1927"/>
    </row>
    <row r="23" spans="1:5" ht="15" thickBot="1">
      <c r="A23" s="1927"/>
      <c r="B23" s="2756"/>
      <c r="C23" s="1942" t="s">
        <v>1270</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7" t="s">
        <v>1271</v>
      </c>
      <c r="C25" s="2747"/>
      <c r="D25" s="2747"/>
      <c r="E25" s="1927"/>
    </row>
    <row r="26" spans="1:5" ht="18.75" customHeight="1" thickTop="1">
      <c r="A26" s="1927"/>
      <c r="B26" s="2750" t="s">
        <v>1171</v>
      </c>
      <c r="C26" s="2751"/>
      <c r="D26" s="2748" t="s">
        <v>1170</v>
      </c>
      <c r="E26" s="1927"/>
    </row>
    <row r="27" spans="1:5" ht="18.75" customHeight="1">
      <c r="A27" s="1927"/>
      <c r="B27" s="2752"/>
      <c r="C27" s="2753"/>
      <c r="D27" s="2749"/>
      <c r="E27" s="1927"/>
    </row>
    <row r="28" spans="1:5" ht="14.25">
      <c r="A28" s="1927"/>
      <c r="B28" s="2740" t="s">
        <v>782</v>
      </c>
      <c r="C28" s="1944" t="s">
        <v>1173</v>
      </c>
      <c r="D28" s="1945">
        <f ca="1">IF('数据-取费表'!E3="否",结果表!I102,'结果表 (1修多)'!I103)</f>
        <v>17243182</v>
      </c>
      <c r="E28" s="1927"/>
    </row>
    <row r="29" spans="1:5" ht="28.5">
      <c r="A29" s="1927"/>
      <c r="B29" s="2741"/>
      <c r="C29" s="1946" t="s">
        <v>1172</v>
      </c>
      <c r="D29" s="1947" t="str">
        <f ca="1">IF('数据-取费表'!B3="万元",NUMBERSTRING(INT(D28*10000),2)&amp;"元整",NUMBERSTRING(INT(D28),2)&amp;"元整")</f>
        <v>壹仟柒佰贰拾肆万叁仟壹佰捌拾贰元整</v>
      </c>
      <c r="E29" s="1927"/>
    </row>
    <row r="30" spans="1:5" ht="14.25">
      <c r="A30" s="1927"/>
      <c r="B30" s="2742"/>
      <c r="C30" s="1937" t="s">
        <v>1175</v>
      </c>
      <c r="D30" s="1948">
        <f ca="1">IF('数据-取费表'!E3="否",结果表!I103,'结果表 (1修多)'!I104)</f>
        <v>25006</v>
      </c>
      <c r="E30" s="1927"/>
    </row>
    <row r="31" spans="1:5" ht="14.25">
      <c r="A31" s="1927"/>
      <c r="B31" s="2745" t="str">
        <f>B10</f>
        <v>2.估价师所知悉的法定优先受偿款</v>
      </c>
      <c r="C31" s="1949" t="s">
        <v>1174</v>
      </c>
      <c r="D31" s="1950">
        <f>IF('数据-取费表'!E3="否",结果表!I105,'结果表 (1修多)'!I106)</f>
        <v>0</v>
      </c>
      <c r="E31" s="1927"/>
    </row>
    <row r="32" spans="1:5" ht="14.25">
      <c r="A32" s="1927"/>
      <c r="B32" s="2754"/>
      <c r="C32" s="1946" t="s">
        <v>1172</v>
      </c>
      <c r="D32" s="1951" t="str">
        <f>IF('数据-取费表'!B3="万元",NUMBERSTRING(INT(D31*10000),2)&amp;"元整",NUMBERSTRING(INT(D31),2)&amp;"元整")</f>
        <v>零元整</v>
      </c>
      <c r="E32" s="1927"/>
    </row>
    <row r="33" spans="1:5" ht="14.25">
      <c r="A33" s="1927"/>
      <c r="B33" s="1935" t="s">
        <v>1155</v>
      </c>
      <c r="C33" s="1935" t="str">
        <f>C31</f>
        <v>总额</v>
      </c>
      <c r="D33" s="1948">
        <f>IF('数据-取费表'!E3="否",结果表!I106,'结果表 (1修多)'!I107)</f>
        <v>0</v>
      </c>
      <c r="E33" s="1927"/>
    </row>
    <row r="34" spans="1:5" ht="14.25">
      <c r="A34" s="1927"/>
      <c r="B34" s="1935" t="s">
        <v>1156</v>
      </c>
      <c r="C34" s="1935" t="str">
        <f>C31</f>
        <v>总额</v>
      </c>
      <c r="D34" s="1948">
        <f>IF('数据-取费表'!E3="否",结果表!I107,'结果表 (1修多)'!I108)</f>
        <v>0</v>
      </c>
      <c r="E34" s="1927"/>
    </row>
    <row r="35" spans="1:5" ht="14.25">
      <c r="A35" s="1927"/>
      <c r="B35" s="1935" t="s">
        <v>1157</v>
      </c>
      <c r="C35" s="1935" t="str">
        <f>C31</f>
        <v>总额</v>
      </c>
      <c r="D35" s="1948">
        <f>IF('数据-取费表'!E3="否",结果表!I108,'结果表 (1修多)'!I109)</f>
        <v>0</v>
      </c>
      <c r="E35" s="1927"/>
    </row>
    <row r="36" spans="1:5" ht="14.25">
      <c r="A36" s="1927"/>
      <c r="B36" s="2743" t="str">
        <f>B15</f>
        <v>3.房地产抵押价值</v>
      </c>
      <c r="C36" s="1949" t="str">
        <f>C28</f>
        <v>总价</v>
      </c>
      <c r="D36" s="1950">
        <f ca="1">IF('数据-取费表'!E3="否",结果表!I110,'结果表 (1修多)'!I111)</f>
        <v>17243182</v>
      </c>
      <c r="E36" s="1927"/>
    </row>
    <row r="37" spans="1:5" ht="28.5">
      <c r="A37" s="1927"/>
      <c r="B37" s="2743"/>
      <c r="C37" s="1946" t="s">
        <v>1172</v>
      </c>
      <c r="D37" s="1951" t="str">
        <f ca="1">IF('数据-取费表'!B3="万元",NUMBERSTRING(INT(D36*10000),2)&amp;"元整",NUMBERSTRING(INT(D36),2)&amp;"元整")</f>
        <v>壹仟柒佰贰拾肆万叁仟壹佰捌拾贰元整</v>
      </c>
      <c r="E37" s="1927"/>
    </row>
    <row r="38" spans="1:5" ht="14.25">
      <c r="A38" s="1927"/>
      <c r="B38" s="2743"/>
      <c r="C38" s="1937" t="s">
        <v>1176</v>
      </c>
      <c r="D38" s="1948">
        <f ca="1">IF('数据-取费表'!E3="否",结果表!D113,'结果表 (1修多)'!D116)</f>
        <v>25006</v>
      </c>
      <c r="E38" s="1927"/>
    </row>
    <row r="39" spans="1:5" ht="14.25">
      <c r="A39" s="1927"/>
      <c r="B39" s="2744" t="str">
        <f>B18</f>
        <v>——</v>
      </c>
      <c r="C39" s="1949" t="str">
        <f>C28</f>
        <v>总价</v>
      </c>
      <c r="D39" s="1950" t="str">
        <f>IF('数据-取费表'!E3="否",结果表!I112,'结果表 (1修多)'!I113)</f>
        <v>——</v>
      </c>
      <c r="E39" s="1927"/>
    </row>
    <row r="40" spans="1:5" ht="14.25">
      <c r="A40" s="1927"/>
      <c r="B40" s="2744"/>
      <c r="C40" s="1946" t="s">
        <v>1172</v>
      </c>
      <c r="D40" s="1951" t="e">
        <f>IF('数据-取费表'!B3="万元",NUMBERSTRING(INT(D39*10000),2)&amp;"元整",NUMBERSTRING(INT(D39),2)&amp;"元整")</f>
        <v>#VALUE!</v>
      </c>
      <c r="E40" s="1927"/>
    </row>
    <row r="41" spans="1:5" ht="14.25">
      <c r="A41" s="1927"/>
      <c r="B41" s="2744"/>
      <c r="C41" s="1937" t="s">
        <v>1176</v>
      </c>
      <c r="D41" s="1948" t="str">
        <f>IF('数据-取费表'!E3="否",结果表!D115,'结果表 (1修多)'!D118)</f>
        <v>——</v>
      </c>
      <c r="E41" s="1927"/>
    </row>
    <row r="42" spans="1:5" ht="14.25">
      <c r="A42" s="1927"/>
      <c r="B42" s="2743" t="str">
        <f>B21</f>
        <v>——</v>
      </c>
      <c r="C42" s="1949" t="str">
        <f>C28</f>
        <v>总价</v>
      </c>
      <c r="D42" s="1950" t="str">
        <f>IF('数据-取费表'!E3="否",结果表!I114,'结果表 (1修多)'!I115)</f>
        <v>——</v>
      </c>
      <c r="E42" s="1927"/>
    </row>
    <row r="43" spans="1:5" ht="14.25">
      <c r="A43" s="1927"/>
      <c r="B43" s="2745"/>
      <c r="C43" s="1946" t="s">
        <v>1172</v>
      </c>
      <c r="D43" s="1952" t="e">
        <f>IF('数据-取费表'!B3="万元",NUMBERSTRING(INT(D42*10000),2)&amp;"元整",NUMBERSTRING(INT(D42),2)&amp;"元整")</f>
        <v>#VALUE!</v>
      </c>
      <c r="E43" s="1927"/>
    </row>
    <row r="44" spans="1:5" ht="15" thickBot="1">
      <c r="A44" s="1927"/>
      <c r="B44" s="2746"/>
      <c r="C44" s="1942" t="s">
        <v>1176</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1272</v>
      </c>
      <c r="B2" s="2770" t="s">
        <v>1273</v>
      </c>
      <c r="C2" s="2770" t="s">
        <v>1274</v>
      </c>
      <c r="D2" s="2770" t="str">
        <f>IF('数据-取费表'!E3="否",结果表!D119,'结果表 (1修多)'!D122)</f>
        <v>出让国有建设用地使用权价值</v>
      </c>
      <c r="E2" s="2770"/>
      <c r="F2" s="2770" t="s">
        <v>1275</v>
      </c>
      <c r="G2" s="2770"/>
      <c r="H2" s="2770" t="s">
        <v>1276</v>
      </c>
      <c r="I2" s="2770"/>
    </row>
    <row r="3" spans="1:9" ht="15">
      <c r="A3" s="2763"/>
      <c r="B3" s="2763"/>
      <c r="C3" s="2763"/>
      <c r="D3" s="1049" t="s">
        <v>1277</v>
      </c>
      <c r="E3" s="1049" t="s">
        <v>1278</v>
      </c>
      <c r="F3" s="1049" t="s">
        <v>1277</v>
      </c>
      <c r="G3" s="1049" t="s">
        <v>1279</v>
      </c>
      <c r="H3" s="1049" t="s">
        <v>1277</v>
      </c>
      <c r="I3" s="1049" t="s">
        <v>1279</v>
      </c>
    </row>
    <row r="4" spans="1:9" ht="46.5" customHeight="1">
      <c r="A4" s="1049" t="str">
        <f>项目基本情况!I1</f>
        <v>北京市房地产</v>
      </c>
      <c r="B4" s="1049">
        <f>结果表!B121</f>
        <v>689.57</v>
      </c>
      <c r="C4" s="1049">
        <f>结果表!C121</f>
        <v>0</v>
      </c>
      <c r="D4" s="1049">
        <f ca="1">IF('数据-取费表'!E3="否",结果表!D121,'结果表 (1修多)'!D124)</f>
        <v>14329084</v>
      </c>
      <c r="E4" s="1049">
        <f ca="1">IF('数据-取费表'!E3="否",结果表!E121,'结果表 (1修多)'!E124)</f>
        <v>20780</v>
      </c>
      <c r="F4" s="1049">
        <f ca="1">IF('数据-取费表'!E3="否",结果表!F121,'结果表 (1修多)'!F124)</f>
        <v>2914098</v>
      </c>
      <c r="G4" s="1049">
        <f ca="1">IF('数据-取费表'!E3="否",结果表!G121,'结果表 (1修多)'!G124)</f>
        <v>4226</v>
      </c>
      <c r="H4" s="1049">
        <f ca="1">IF('数据-取费表'!E3="否",结果表!H121,'结果表 (1修多)'!H124)</f>
        <v>17243182</v>
      </c>
      <c r="I4" s="1049">
        <f ca="1">IF('数据-取费表'!E3="否",结果表!I121,'结果表 (1修多)'!I124)</f>
        <v>25006</v>
      </c>
    </row>
    <row r="5" spans="1:9" ht="15">
      <c r="A5" s="2763" t="s">
        <v>1280</v>
      </c>
      <c r="B5" s="2763"/>
      <c r="C5" s="2763"/>
      <c r="D5" s="2764" t="str">
        <f ca="1">IF('数据-取费表'!E3="否",结果表!D122,'结果表 (1修多)'!D125)</f>
        <v>壹仟肆佰叁拾贰万玖仟零捌拾肆元整</v>
      </c>
      <c r="E5" s="2764"/>
      <c r="F5" s="2764" t="str">
        <f ca="1">IF('数据-取费表'!E3="否",结果表!F122,'结果表 (1修多)'!F125)</f>
        <v>贰佰玖拾壹万肆仟零玖拾捌元整</v>
      </c>
      <c r="G5" s="2764"/>
      <c r="H5" s="2764" t="str">
        <f ca="1">IF('数据-取费表'!E3="否",结果表!H122,'结果表 (1修多)'!H125)</f>
        <v>壹仟柒佰贰拾肆万叁仟壹佰捌拾贰元整</v>
      </c>
      <c r="I5" s="2764"/>
    </row>
    <row r="6" spans="1:9" ht="15.75">
      <c r="A6" s="2765" t="str">
        <f>IF('数据-取费表'!E3="否",结果表!A123,'结果表 (1修多)'!A126)</f>
        <v>估价师所知悉的法定优先受偿款</v>
      </c>
      <c r="B6" s="2765"/>
      <c r="C6" s="2765"/>
      <c r="D6" s="2765">
        <f>IF('数据-取费表'!E3="否",结果表!D123,'结果表 (1修多)'!D126)</f>
        <v>0</v>
      </c>
      <c r="E6" s="2765"/>
      <c r="F6" s="2765"/>
      <c r="G6" s="2765"/>
      <c r="H6" s="2765"/>
      <c r="I6" s="2765"/>
    </row>
    <row r="7" spans="1:9" ht="15">
      <c r="A7" s="2763" t="s">
        <v>1280</v>
      </c>
      <c r="B7" s="2763"/>
      <c r="C7" s="2763"/>
      <c r="D7" s="2771">
        <f>IF('数据-取费表'!E3="否",结果表!D124,'结果表 (1修多)'!D127)</f>
        <v>0</v>
      </c>
      <c r="E7" s="2772"/>
      <c r="F7" s="2772"/>
      <c r="G7" s="2772"/>
      <c r="H7" s="2772"/>
      <c r="I7" s="2773"/>
    </row>
    <row r="8" spans="1:9" ht="15.75">
      <c r="A8" s="2765" t="str">
        <f>IF('数据-取费表'!E3="否",结果表!A125,'结果表 (1修多)'!A128)</f>
        <v>房地产抵押价值</v>
      </c>
      <c r="B8" s="2765"/>
      <c r="C8" s="2765"/>
      <c r="D8" s="2765">
        <f ca="1">IF('数据-取费表'!E3="否",结果表!D125,'结果表 (1修多)'!D128)</f>
        <v>17243182</v>
      </c>
      <c r="E8" s="2765"/>
      <c r="F8" s="2765"/>
      <c r="G8" s="2765"/>
      <c r="H8" s="2765"/>
      <c r="I8" s="2765"/>
    </row>
    <row r="9" spans="1:9" ht="15">
      <c r="A9" s="2763" t="s">
        <v>1280</v>
      </c>
      <c r="B9" s="2763"/>
      <c r="C9" s="2763"/>
      <c r="D9" s="2764">
        <f ca="1">IF('数据-取费表'!E3="否",结果表!D126,'结果表 (1修多)'!D129)</f>
        <v>25006</v>
      </c>
      <c r="E9" s="2764"/>
      <c r="F9" s="2764"/>
      <c r="G9" s="2764"/>
      <c r="H9" s="2764"/>
      <c r="I9" s="2764"/>
    </row>
    <row r="10" spans="1:9" ht="15.75">
      <c r="A10" s="2765" t="str">
        <f>IF('数据-取费表'!E3="否",结果表!A127,'结果表 (1修多)'!A130)</f>
        <v/>
      </c>
      <c r="B10" s="2765"/>
      <c r="C10" s="2765"/>
      <c r="D10" s="2765" t="str">
        <f>IF('数据-取费表'!E3="否",结果表!D127,'结果表 (1修多)'!D129)</f>
        <v>——</v>
      </c>
      <c r="E10" s="2765"/>
      <c r="F10" s="2765"/>
      <c r="G10" s="2765"/>
      <c r="H10" s="2765"/>
      <c r="I10" s="2765"/>
    </row>
    <row r="11" spans="1:9" ht="15">
      <c r="A11" s="2763" t="s">
        <v>1280</v>
      </c>
      <c r="B11" s="2763"/>
      <c r="C11" s="2763"/>
      <c r="D11" s="2764" t="str">
        <f>IF('数据-取费表'!E3="否",结果表!D128,'结果表 (1修多)'!D131)</f>
        <v>——</v>
      </c>
      <c r="E11" s="2764"/>
      <c r="F11" s="2764"/>
      <c r="G11" s="2764"/>
      <c r="H11" s="2764"/>
      <c r="I11" s="2764"/>
    </row>
    <row r="12" spans="1:9" ht="15.75">
      <c r="A12" s="2765" t="str">
        <f>IF('数据-取费表'!E3="否",结果表!A129,'结果表 (1修多)'!A132)</f>
        <v/>
      </c>
      <c r="B12" s="2765"/>
      <c r="C12" s="2765"/>
      <c r="D12" s="2765" t="str">
        <f>IF('数据-取费表'!E3="否",结果表!D129,'结果表 (1修多)'!D132)</f>
        <v>——</v>
      </c>
      <c r="E12" s="2765"/>
      <c r="F12" s="2765"/>
      <c r="G12" s="2765"/>
      <c r="H12" s="2765"/>
      <c r="I12" s="2765"/>
    </row>
    <row r="13" spans="1:9" ht="15.75" thickBot="1">
      <c r="A13" s="2766" t="s">
        <v>1280</v>
      </c>
      <c r="B13" s="2766"/>
      <c r="C13" s="2766"/>
      <c r="D13" s="2767">
        <f>IF('数据-取费表'!E3="否",结果表!D130,'结果表 (1修多)'!D133)</f>
        <v>0</v>
      </c>
      <c r="E13" s="2767"/>
      <c r="F13" s="2767"/>
      <c r="G13" s="2767"/>
      <c r="H13" s="2767"/>
      <c r="I13" s="2767"/>
    </row>
    <row r="14" spans="1:9" ht="15" thickTop="1">
      <c r="A14" s="2768" t="str">
        <f>IF('数据-取费表'!E3="否",结果表!A131,'结果表 (1修多)'!A134)</f>
        <v>单位：平方米、元、元/平方米（币种：人民币）</v>
      </c>
      <c r="B14" s="2768"/>
      <c r="C14" s="2768"/>
      <c r="D14" s="2768"/>
      <c r="E14" s="2768"/>
      <c r="F14" s="2768"/>
      <c r="G14" s="2768"/>
      <c r="H14" s="2768"/>
      <c r="I14" s="2768"/>
    </row>
    <row r="15" spans="1:9">
      <c r="A15" s="715"/>
      <c r="B15" s="715"/>
      <c r="C15" s="715"/>
      <c r="D15" s="715"/>
      <c r="E15" s="715"/>
      <c r="F15" s="715"/>
      <c r="G15" s="715"/>
      <c r="H15" s="715"/>
      <c r="I15" s="715"/>
    </row>
    <row r="16" spans="1:9" ht="18.75">
      <c r="A16" s="1955"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5" t="s">
        <v>1294</v>
      </c>
      <c r="B1" s="2775"/>
      <c r="C1" s="2775"/>
      <c r="D1" s="2775"/>
    </row>
    <row r="2" spans="1:4" ht="18">
      <c r="A2" s="2774" t="s">
        <v>1282</v>
      </c>
      <c r="B2" s="2774"/>
      <c r="C2" s="2774"/>
      <c r="D2" s="2774"/>
    </row>
    <row r="3" spans="1:4" ht="18.75">
      <c r="A3" s="1956" t="s">
        <v>1283</v>
      </c>
      <c r="B3" s="1956" t="s">
        <v>1284</v>
      </c>
      <c r="C3" s="1956" t="s">
        <v>1285</v>
      </c>
      <c r="D3" s="1956" t="s">
        <v>1286</v>
      </c>
    </row>
    <row r="4" spans="1:4" ht="56.25" customHeight="1">
      <c r="A4" s="1957" t="str">
        <f>项目基本情况!B3</f>
        <v>注册房地产估价师</v>
      </c>
      <c r="B4" s="1958">
        <f>项目基本情况!C3</f>
        <v>0</v>
      </c>
      <c r="C4" s="1959"/>
      <c r="D4" s="1960" t="s">
        <v>1295</v>
      </c>
    </row>
    <row r="5" spans="1:4" ht="56.25" customHeight="1">
      <c r="A5" s="1957" t="str">
        <f>项目基本情况!D3</f>
        <v>注册房地产估价师</v>
      </c>
      <c r="B5" s="1958">
        <f>项目基本情况!E3</f>
        <v>0</v>
      </c>
      <c r="C5" s="1961"/>
      <c r="D5" s="1960" t="s">
        <v>1295</v>
      </c>
    </row>
    <row r="6" spans="1:4" ht="12" customHeight="1">
      <c r="A6" s="1957"/>
      <c r="B6" s="1958"/>
      <c r="C6" s="1962"/>
      <c r="D6" s="1960"/>
    </row>
    <row r="7" spans="1:4" ht="18">
      <c r="A7" s="2774" t="s">
        <v>1287</v>
      </c>
      <c r="B7" s="2774"/>
      <c r="C7" s="2774"/>
      <c r="D7" s="2774"/>
    </row>
    <row r="8" spans="1:4" ht="18.75">
      <c r="A8" s="1956" t="s">
        <v>1283</v>
      </c>
      <c r="B8" s="1958" t="s">
        <v>1288</v>
      </c>
      <c r="C8" s="1956" t="s">
        <v>1285</v>
      </c>
      <c r="D8" s="1956" t="s">
        <v>1286</v>
      </c>
    </row>
    <row r="9" spans="1:4" ht="56.25" customHeight="1">
      <c r="A9" s="1963" t="s">
        <v>783</v>
      </c>
      <c r="B9" s="1963" t="s">
        <v>784</v>
      </c>
      <c r="C9" s="1959"/>
      <c r="D9" s="1960" t="s">
        <v>1295</v>
      </c>
    </row>
    <row r="11" spans="1:4" ht="18.75">
      <c r="A11" s="1964" t="s">
        <v>1289</v>
      </c>
    </row>
    <row r="12" spans="1:4" ht="30" customHeight="1">
      <c r="A12" s="2776" t="s">
        <v>1296</v>
      </c>
      <c r="B12" s="2777"/>
      <c r="C12" s="2777"/>
      <c r="D12" s="2777"/>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7"/>
      <c r="C13" s="2777"/>
      <c r="D13" s="2777"/>
    </row>
    <row r="14" spans="1:4" ht="30" customHeight="1">
      <c r="A14" s="2776" t="str">
        <f>IF(项目基本情况!D4="抵押","3.抵押双方在办理抵押登记手续时，应使用本公司出具的正式《房地产评估报告》，特提醒报告使用者注意。","——")</f>
        <v>——</v>
      </c>
      <c r="B14" s="2777"/>
      <c r="C14" s="2777"/>
      <c r="D14" s="2777"/>
    </row>
    <row r="15" spans="1:4" ht="15.75" customHeight="1">
      <c r="A15" s="2776" t="str">
        <f>IF(项目基本情况!D4="抵押","4.本次评估估价师所知悉的法定优先受偿款情况说明如下：","——")</f>
        <v>——</v>
      </c>
      <c r="B15" s="2777"/>
      <c r="C15" s="2777"/>
      <c r="D15" s="2777"/>
    </row>
    <row r="16" spans="1:4" ht="75" customHeight="1">
      <c r="A16" s="2776" t="str">
        <f>IF(项目基本情况!D4="抵押",CONCATENATE(项目基本情况!J13,项目基本情况!J14,项目基本情况!J15),"——")</f>
        <v>——</v>
      </c>
      <c r="B16" s="2776"/>
      <c r="C16" s="2776"/>
      <c r="D16" s="2776"/>
    </row>
    <row r="17" spans="1:4" ht="63.75" customHeight="1">
      <c r="A17" s="2778" t="s">
        <v>1297</v>
      </c>
      <c r="B17" s="2778"/>
      <c r="C17" s="2778"/>
      <c r="D17" s="2778"/>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8" t="s">
        <v>1290</v>
      </c>
      <c r="B20" s="2778"/>
      <c r="C20" s="2778"/>
      <c r="D20" s="2778"/>
    </row>
    <row r="21" spans="1:4">
      <c r="A21" s="1965"/>
      <c r="B21" s="1290"/>
      <c r="C21" s="1290"/>
      <c r="D21" s="1290"/>
    </row>
    <row r="22" spans="1:4">
      <c r="A22" s="1965"/>
      <c r="B22" s="1290"/>
      <c r="C22" s="1290"/>
      <c r="D22" s="1290"/>
    </row>
    <row r="23" spans="1:4" ht="18.75">
      <c r="A23" s="1926" t="s">
        <v>1291</v>
      </c>
    </row>
    <row r="24" spans="1:4" ht="18">
      <c r="A24" s="1926"/>
    </row>
    <row r="25" spans="1:4" ht="18.75">
      <c r="A25" s="1926" t="s">
        <v>1292</v>
      </c>
    </row>
    <row r="28" spans="1:4" ht="21" customHeight="1">
      <c r="D28" s="1966" t="s">
        <v>1293</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1364</v>
      </c>
    </row>
    <row r="3" spans="1:7" ht="14.25">
      <c r="A3" s="1972" t="s">
        <v>1365</v>
      </c>
      <c r="B3" s="715" t="s">
        <v>1366</v>
      </c>
      <c r="G3" s="1973"/>
    </row>
    <row r="4" spans="1:7">
      <c r="G4" s="1973"/>
    </row>
    <row r="5" spans="1:7" ht="14.25">
      <c r="A5" s="1975" t="s">
        <v>1367</v>
      </c>
      <c r="B5" s="715" t="s">
        <v>1368</v>
      </c>
      <c r="G5" s="1973"/>
    </row>
    <row r="6" spans="1:7">
      <c r="G6" s="1973"/>
    </row>
    <row r="7" spans="1:7" ht="14.25">
      <c r="A7" s="1976" t="s">
        <v>1369</v>
      </c>
      <c r="B7" s="715" t="s">
        <v>1370</v>
      </c>
      <c r="G7" s="1973"/>
    </row>
    <row r="8" spans="1:7">
      <c r="G8" s="1973"/>
    </row>
    <row r="9" spans="1:7">
      <c r="A9" s="1977" t="s">
        <v>1371</v>
      </c>
      <c r="B9" s="715" t="s">
        <v>1372</v>
      </c>
    </row>
    <row r="11" spans="1:7">
      <c r="A11" s="1978" t="s">
        <v>1373</v>
      </c>
      <c r="B11" s="1979" t="s">
        <v>1374</v>
      </c>
    </row>
    <row r="13" spans="1:7">
      <c r="A13" s="1681" t="s">
        <v>1375</v>
      </c>
    </row>
    <row r="15" spans="1:7" ht="14.25">
      <c r="A15" s="2784" t="s">
        <v>1376</v>
      </c>
      <c r="B15" s="2779" t="s">
        <v>1377</v>
      </c>
      <c r="C15" s="2780"/>
    </row>
    <row r="16" spans="1:7" ht="14.25">
      <c r="A16" s="2785"/>
      <c r="B16" s="2779" t="s">
        <v>1378</v>
      </c>
      <c r="C16" s="2780"/>
    </row>
    <row r="17" spans="1:3" ht="14.25">
      <c r="A17" s="2785"/>
      <c r="B17" s="2779" t="s">
        <v>1379</v>
      </c>
      <c r="C17" s="2780"/>
    </row>
    <row r="18" spans="1:3" ht="14.25">
      <c r="A18" s="2786"/>
      <c r="B18" s="2781" t="s">
        <v>1380</v>
      </c>
      <c r="C18" s="2780"/>
    </row>
    <row r="19" spans="1:3" ht="14.25">
      <c r="A19" s="1980" t="s">
        <v>1381</v>
      </c>
      <c r="B19" s="1981"/>
      <c r="C19" s="1982"/>
    </row>
    <row r="20" spans="1:3" ht="14.25">
      <c r="A20" s="2782" t="s">
        <v>1382</v>
      </c>
      <c r="B20" s="2781" t="s">
        <v>1383</v>
      </c>
      <c r="C20" s="2780"/>
    </row>
    <row r="21" spans="1:3" ht="14.25">
      <c r="A21" s="2782"/>
      <c r="B21" s="2781" t="s">
        <v>1384</v>
      </c>
      <c r="C21" s="2780"/>
    </row>
    <row r="22" spans="1:3" ht="14.25">
      <c r="A22" s="2782"/>
      <c r="B22" s="2781" t="s">
        <v>1385</v>
      </c>
      <c r="C22" s="2780"/>
    </row>
    <row r="23" spans="1:3" ht="14.25">
      <c r="A23" s="2782"/>
      <c r="B23" s="2783" t="s">
        <v>1386</v>
      </c>
      <c r="C23" s="1983" t="s">
        <v>1387</v>
      </c>
    </row>
    <row r="24" spans="1:3" ht="14.25">
      <c r="A24" s="2782"/>
      <c r="B24" s="2783"/>
      <c r="C24" s="1983" t="s">
        <v>1388</v>
      </c>
    </row>
    <row r="25" spans="1:3" ht="14.25">
      <c r="A25" s="2782"/>
      <c r="B25" s="2783"/>
      <c r="C25" s="1983" t="s">
        <v>1389</v>
      </c>
    </row>
    <row r="26" spans="1:3" ht="14.25">
      <c r="A26" s="2782"/>
      <c r="B26" s="2783"/>
      <c r="C26" s="1983" t="s">
        <v>1390</v>
      </c>
    </row>
    <row r="27" spans="1:3" ht="14.25">
      <c r="A27" s="2782"/>
      <c r="B27" s="2783"/>
      <c r="C27" s="1983" t="s">
        <v>1391</v>
      </c>
    </row>
    <row r="28" spans="1:3" ht="14.25">
      <c r="A28" s="2782"/>
      <c r="B28" s="2783"/>
      <c r="C28" s="1983" t="s">
        <v>1392</v>
      </c>
    </row>
    <row r="29" spans="1:3" ht="14.25">
      <c r="A29" s="2782"/>
      <c r="B29" s="2783"/>
      <c r="C29" s="1983" t="s">
        <v>1393</v>
      </c>
    </row>
    <row r="30" spans="1:3" ht="14.25">
      <c r="A30" s="2782"/>
      <c r="B30" s="2783"/>
      <c r="C30" s="1983" t="s">
        <v>1394</v>
      </c>
    </row>
    <row r="31" spans="1:3" ht="14.25">
      <c r="A31" s="2782"/>
      <c r="B31" s="2783"/>
      <c r="C31" s="1983" t="s">
        <v>1395</v>
      </c>
    </row>
    <row r="32" spans="1:3">
      <c r="A32" s="198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43565</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t="str">
        <f ca="1">IF(C10&lt;B2,"已过期",1120060040)</f>
        <v>已过期</v>
      </c>
      <c r="C10" s="1811">
        <v>43483</v>
      </c>
      <c r="D10" s="1812" t="str">
        <f t="shared" ca="1" si="0"/>
        <v>陈颖（注册号：已过期）</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c r="E12" s="1810"/>
      <c r="F12" s="1031"/>
      <c r="G12" s="1039"/>
      <c r="H12" s="1813"/>
    </row>
    <row r="13" spans="1:8" ht="24" customHeight="1">
      <c r="A13" s="1810" t="s">
        <v>761</v>
      </c>
      <c r="B13" s="1031">
        <f ca="1">IF(C13&lt;B2,"已过期",1120070131)</f>
        <v>1120070131</v>
      </c>
      <c r="C13" s="1811">
        <v>43814</v>
      </c>
      <c r="D13" s="1812" t="str">
        <f t="shared" ca="1" si="0"/>
        <v>郑燚（注册号：1120070131）</v>
      </c>
      <c r="E13" s="1810" t="s">
        <v>761</v>
      </c>
      <c r="F13" s="1031">
        <f ca="1">IF(G13&lt;B2,"已过期",2014110011)</f>
        <v>2014110011</v>
      </c>
      <c r="G13" s="1039">
        <v>49302</v>
      </c>
      <c r="H13" s="1813" t="str">
        <f t="shared" ca="1" si="1"/>
        <v>郑燚（注册号：2014110011）</v>
      </c>
    </row>
    <row r="14" spans="1:8" ht="24" customHeight="1">
      <c r="A14" s="1810" t="s">
        <v>2816</v>
      </c>
      <c r="B14" s="1031">
        <f ca="1">IF(C14&lt;B2,"已过期",1120040230)</f>
        <v>1120040230</v>
      </c>
      <c r="C14" s="2733">
        <v>43835</v>
      </c>
      <c r="D14" s="1812" t="str">
        <f t="shared" ca="1" si="0"/>
        <v>苏海（注册号：1120040230）</v>
      </c>
      <c r="E14" s="2734" t="s">
        <v>2816</v>
      </c>
      <c r="F14" s="1031">
        <f ca="1">IF(G14&lt;B2,"已过期",98030020)</f>
        <v>98030020</v>
      </c>
      <c r="G14" s="1039">
        <v>47118</v>
      </c>
      <c r="H14" s="1813" t="str">
        <f t="shared" ca="1" si="1"/>
        <v>苏海（注册号：98030020）</v>
      </c>
    </row>
    <row r="15" spans="1:8" ht="24" customHeight="1">
      <c r="A15" s="1814" t="s">
        <v>2818</v>
      </c>
      <c r="B15" s="1031">
        <f ca="1">IF(C15&lt;B2,"已过期",1120070085)</f>
        <v>1120070085</v>
      </c>
      <c r="C15" s="2733">
        <v>43814</v>
      </c>
      <c r="D15" s="1812" t="str">
        <f t="shared" ca="1" si="0"/>
        <v>杨红英（注册号：1120070085）</v>
      </c>
      <c r="E15" s="1814" t="s">
        <v>1029</v>
      </c>
      <c r="F15" s="1031">
        <f ca="1">IF(G15&lt;B2,"已过期",2004110128)</f>
        <v>2004110128</v>
      </c>
      <c r="G15" s="1032">
        <v>47118</v>
      </c>
      <c r="H15" s="1813" t="str">
        <f t="shared" ca="1" si="1"/>
        <v>杨红英（注册号：2004110128）</v>
      </c>
    </row>
    <row r="16" spans="1:8" ht="24" customHeight="1">
      <c r="A16" s="1810" t="s">
        <v>763</v>
      </c>
      <c r="B16" s="1031">
        <f ca="1">IF(C16&lt;B2,"已过期",1120140022)</f>
        <v>1120140022</v>
      </c>
      <c r="C16" s="1811">
        <v>44029</v>
      </c>
      <c r="D16" s="1812" t="str">
        <f t="shared" ca="1" si="0"/>
        <v>刘梅（注册号：1120140022）</v>
      </c>
      <c r="E16" s="1810" t="s">
        <v>763</v>
      </c>
      <c r="F16" s="1031">
        <f ca="1">IF(G16&lt;B2,"已过期",2008110059)</f>
        <v>2008110059</v>
      </c>
      <c r="G16" s="1039">
        <v>47177</v>
      </c>
      <c r="H16" s="1813" t="str">
        <f t="shared" ca="1" si="1"/>
        <v>刘梅（注册号：2008110059）</v>
      </c>
    </row>
    <row r="17" spans="1:8" ht="24" customHeight="1">
      <c r="A17" s="1810"/>
      <c r="B17" s="1031"/>
      <c r="C17" s="1811"/>
      <c r="D17" s="1812"/>
      <c r="E17" s="2734" t="s">
        <v>2817</v>
      </c>
      <c r="F17" s="1031">
        <f ca="1">IF(G17&lt;B2,"已过期",2014110076)</f>
        <v>2014110076</v>
      </c>
      <c r="G17" s="1039">
        <v>49302</v>
      </c>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764</v>
      </c>
      <c r="F21" s="1031">
        <f ca="1">IF(G21&lt;B2,"已过期",2011110090)</f>
        <v>2011110090</v>
      </c>
      <c r="G21" s="1039">
        <v>48302</v>
      </c>
      <c r="H21" s="1813" t="str">
        <f t="shared" ca="1" si="1"/>
        <v>赵雯（注册号：2011110090）</v>
      </c>
    </row>
    <row r="22" spans="1:8" ht="24" customHeight="1">
      <c r="A22" s="1810" t="s">
        <v>765</v>
      </c>
      <c r="B22" s="1031">
        <f ca="1">IF(C22&lt;B2,"已过期",1120020033)</f>
        <v>1120020033</v>
      </c>
      <c r="C22" s="1811">
        <v>44339</v>
      </c>
      <c r="D22" s="1812" t="str">
        <f t="shared" ca="1" si="0"/>
        <v>刘敬东（注册号：1120020033）</v>
      </c>
      <c r="E22" s="1810" t="s">
        <v>765</v>
      </c>
      <c r="F22" s="1031">
        <f ca="1">IF(G22&lt;B2,"已过期",2000110137)</f>
        <v>2000110137</v>
      </c>
      <c r="G22" s="1039">
        <v>46387</v>
      </c>
      <c r="H22" s="1813" t="str">
        <f t="shared" ca="1" si="1"/>
        <v>刘敬东（注册号：2000110137）</v>
      </c>
    </row>
    <row r="23" spans="1:8" ht="24" customHeight="1">
      <c r="A23" s="1810"/>
      <c r="B23" s="1031"/>
      <c r="C23" s="1811"/>
      <c r="D23" s="1812" t="str">
        <f t="shared" si="0"/>
        <v>（注册号：）</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7" t="s">
        <v>766</v>
      </c>
      <c r="B25" s="2787"/>
      <c r="C25" s="2787"/>
      <c r="D25" s="2787"/>
      <c r="E25" s="2787"/>
      <c r="F25" s="2787"/>
      <c r="G25" s="2787"/>
      <c r="H25" s="2787"/>
    </row>
    <row r="26" spans="1:8" s="1034" customFormat="1" ht="24" customHeight="1">
      <c r="A26" s="2788" t="s">
        <v>767</v>
      </c>
      <c r="B26" s="2788"/>
      <c r="C26" s="2788"/>
      <c r="D26" s="1062"/>
      <c r="E26" s="1062"/>
      <c r="F26" s="2788" t="s">
        <v>768</v>
      </c>
      <c r="G26" s="2788"/>
      <c r="H26" s="2788"/>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6">
        <v>44377</v>
      </c>
    </row>
    <row r="29" spans="1:8" s="1036" customFormat="1" ht="24" customHeight="1">
      <c r="A29" s="1037"/>
      <c r="B29" s="1037"/>
      <c r="C29" s="1040"/>
      <c r="D29" s="1040"/>
      <c r="E29" s="1040"/>
      <c r="F29" s="1037" t="s">
        <v>776</v>
      </c>
      <c r="G29" s="1041" t="s">
        <v>1255</v>
      </c>
      <c r="H29" s="1097">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1397</v>
      </c>
      <c r="B1" s="4" t="s">
        <v>1398</v>
      </c>
      <c r="C1" s="1986" t="s">
        <v>1399</v>
      </c>
      <c r="D1" s="5" t="s">
        <v>1400</v>
      </c>
      <c r="E1" s="5" t="s">
        <v>1401</v>
      </c>
      <c r="F1" s="5" t="s">
        <v>1402</v>
      </c>
      <c r="G1" s="5" t="s">
        <v>1403</v>
      </c>
      <c r="H1" s="5" t="s">
        <v>1404</v>
      </c>
      <c r="I1" s="5" t="s">
        <v>1405</v>
      </c>
      <c r="J1" s="5" t="s">
        <v>1406</v>
      </c>
      <c r="K1" s="5" t="s">
        <v>1407</v>
      </c>
      <c r="L1" s="5" t="s">
        <v>1408</v>
      </c>
      <c r="M1" s="5" t="s">
        <v>1409</v>
      </c>
      <c r="N1" s="5" t="s">
        <v>1410</v>
      </c>
      <c r="O1" s="5" t="s">
        <v>1411</v>
      </c>
      <c r="P1" s="1987" t="s">
        <v>1412</v>
      </c>
      <c r="Q1" s="1987" t="s">
        <v>1413</v>
      </c>
      <c r="R1" s="1987" t="s">
        <v>1414</v>
      </c>
      <c r="S1" s="5" t="s">
        <v>1415</v>
      </c>
      <c r="T1" s="6" t="s">
        <v>1416</v>
      </c>
      <c r="U1" s="5" t="s">
        <v>1417</v>
      </c>
      <c r="V1" s="5" t="s">
        <v>1418</v>
      </c>
      <c r="W1" s="5" t="s">
        <v>1419</v>
      </c>
      <c r="X1" s="5" t="s">
        <v>1420</v>
      </c>
      <c r="Y1" s="5" t="s">
        <v>1421</v>
      </c>
    </row>
    <row r="2" spans="1:25">
      <c r="A2" s="1988" t="s">
        <v>33</v>
      </c>
      <c r="B2" s="1988" t="s">
        <v>1422</v>
      </c>
      <c r="C2" s="198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8" t="s">
        <v>1435</v>
      </c>
      <c r="B3" s="1990" t="s">
        <v>1436</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t="s">
        <v>1448</v>
      </c>
      <c r="B4" s="1990" t="s">
        <v>1449</v>
      </c>
      <c r="C4" s="198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8" t="s">
        <v>1459</v>
      </c>
      <c r="B5" s="1988" t="s">
        <v>1460</v>
      </c>
      <c r="C5" s="198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91"/>
    </row>
    <row r="6" spans="1:25">
      <c r="A6" s="1988" t="s">
        <v>1468</v>
      </c>
      <c r="B6" s="1988" t="s">
        <v>1469</v>
      </c>
      <c r="C6" s="124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91"/>
    </row>
    <row r="7" spans="1:25">
      <c r="A7" s="1988" t="s">
        <v>1476</v>
      </c>
      <c r="B7" s="1990" t="s">
        <v>1477</v>
      </c>
      <c r="C7" s="1989" t="s">
        <v>1478</v>
      </c>
      <c r="F7" s="7" t="s">
        <v>1479</v>
      </c>
      <c r="H7" s="7" t="s">
        <v>1480</v>
      </c>
      <c r="I7" s="7" t="s">
        <v>1481</v>
      </c>
      <c r="X7" s="1991"/>
    </row>
    <row r="8" spans="1:25">
      <c r="A8" s="1988" t="s">
        <v>1482</v>
      </c>
      <c r="B8" s="1990" t="s">
        <v>1483</v>
      </c>
      <c r="C8" s="1989" t="s">
        <v>1484</v>
      </c>
      <c r="F8" s="7" t="s">
        <v>1485</v>
      </c>
      <c r="H8" s="7" t="s">
        <v>1486</v>
      </c>
      <c r="I8" s="7" t="s">
        <v>1487</v>
      </c>
      <c r="X8" s="1991"/>
    </row>
    <row r="9" spans="1:25">
      <c r="A9" s="1988" t="s">
        <v>1488</v>
      </c>
      <c r="B9" s="1988" t="s">
        <v>1489</v>
      </c>
      <c r="C9" s="1989" t="s">
        <v>1490</v>
      </c>
      <c r="F9" s="7" t="s">
        <v>1491</v>
      </c>
      <c r="H9" s="7" t="s">
        <v>1492</v>
      </c>
    </row>
    <row r="10" spans="1:25">
      <c r="A10" s="1988" t="s">
        <v>1493</v>
      </c>
      <c r="B10" s="1988" t="s">
        <v>1494</v>
      </c>
      <c r="C10" s="1989" t="s">
        <v>1495</v>
      </c>
      <c r="F10" s="7" t="s">
        <v>13</v>
      </c>
    </row>
    <row r="11" spans="1:25">
      <c r="A11" s="1988" t="s">
        <v>1496</v>
      </c>
      <c r="B11" s="1988" t="s">
        <v>1497</v>
      </c>
      <c r="C11" s="1989" t="s">
        <v>1498</v>
      </c>
    </row>
    <row r="12" spans="1:25">
      <c r="A12" s="1988" t="s">
        <v>1499</v>
      </c>
      <c r="B12" s="1988" t="s">
        <v>1500</v>
      </c>
      <c r="C12" s="1989" t="s">
        <v>1501</v>
      </c>
    </row>
    <row r="13" spans="1:25">
      <c r="A13" s="1988" t="s">
        <v>1502</v>
      </c>
      <c r="B13" s="1988" t="s">
        <v>1503</v>
      </c>
      <c r="C13" s="1989" t="s">
        <v>1504</v>
      </c>
    </row>
    <row r="14" spans="1:25">
      <c r="A14" s="1988" t="s">
        <v>1505</v>
      </c>
      <c r="B14" s="1988" t="s">
        <v>1506</v>
      </c>
      <c r="C14" s="1989"/>
    </row>
    <row r="15" spans="1:25">
      <c r="A15" s="1988" t="s">
        <v>1507</v>
      </c>
      <c r="B15" s="1988" t="s">
        <v>1508</v>
      </c>
      <c r="C15" s="1989"/>
    </row>
    <row r="16" spans="1:25">
      <c r="A16" s="1988" t="s">
        <v>1509</v>
      </c>
      <c r="B16" s="1988" t="s">
        <v>1510</v>
      </c>
      <c r="C16" s="1989"/>
    </row>
    <row r="17" spans="1:3">
      <c r="A17" s="1988" t="s">
        <v>1511</v>
      </c>
      <c r="B17" s="1988" t="s">
        <v>1512</v>
      </c>
      <c r="C17" s="1989"/>
    </row>
    <row r="18" spans="1:3">
      <c r="A18" s="1988" t="s">
        <v>1513</v>
      </c>
      <c r="B18" s="1988" t="s">
        <v>1514</v>
      </c>
      <c r="C18" s="1989"/>
    </row>
    <row r="19" spans="1:3">
      <c r="A19" s="1988" t="s">
        <v>1515</v>
      </c>
      <c r="B19" s="1988" t="s">
        <v>1516</v>
      </c>
      <c r="C19" s="1989"/>
    </row>
    <row r="20" spans="1:3">
      <c r="A20" s="1988" t="s">
        <v>1517</v>
      </c>
      <c r="B20" s="1988" t="s">
        <v>740</v>
      </c>
      <c r="C20" s="1989"/>
    </row>
    <row r="21" spans="1:3">
      <c r="A21" s="1988" t="s">
        <v>1518</v>
      </c>
      <c r="B21" s="1988" t="s">
        <v>740</v>
      </c>
      <c r="C21" s="1989"/>
    </row>
    <row r="22" spans="1:3">
      <c r="A22" s="1988" t="s">
        <v>1519</v>
      </c>
      <c r="B22" s="1988" t="s">
        <v>740</v>
      </c>
      <c r="C22" s="1989"/>
    </row>
    <row r="23" spans="1:3">
      <c r="A23" s="1988" t="s">
        <v>1520</v>
      </c>
      <c r="B23" s="1988" t="s">
        <v>740</v>
      </c>
      <c r="C23" s="1989"/>
    </row>
    <row r="24" spans="1:3">
      <c r="A24" s="1988" t="s">
        <v>1521</v>
      </c>
      <c r="B24" s="1988" t="s">
        <v>740</v>
      </c>
      <c r="C24" s="1989"/>
    </row>
    <row r="25" spans="1:3">
      <c r="A25" s="1988" t="s">
        <v>1522</v>
      </c>
      <c r="B25" s="1988" t="s">
        <v>740</v>
      </c>
      <c r="C25" s="1989"/>
    </row>
    <row r="26" spans="1:3">
      <c r="A26" s="1988" t="s">
        <v>1523</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2" t="s">
        <v>1526</v>
      </c>
      <c r="B52" s="1992" t="s">
        <v>1527</v>
      </c>
      <c r="C52" s="9" t="s">
        <v>1528</v>
      </c>
      <c r="D52" s="9" t="s">
        <v>1529</v>
      </c>
    </row>
    <row r="53" spans="1:4" ht="14.25" customHeight="1">
      <c r="A53" s="278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本次估价的“房地产价值”是指在正常市场情况下，在价值时点2017年8月14日，估价对象规划用途为，假定未设立法定优先受偿款下的房地产市场价值。</v>
      </c>
    </row>
    <row r="54" spans="1:4">
      <c r="A54" s="2789"/>
      <c r="B54" s="9" t="s">
        <v>1532</v>
      </c>
      <c r="C54" s="9" t="s">
        <v>1533</v>
      </c>
    </row>
    <row r="55" spans="1:4">
      <c r="A55" s="2789"/>
      <c r="B55" s="9" t="s">
        <v>1534</v>
      </c>
      <c r="C55" s="9" t="s">
        <v>1535</v>
      </c>
    </row>
    <row r="56" spans="1:4">
      <c r="A56" s="2789"/>
      <c r="B56" s="9" t="s">
        <v>1536</v>
      </c>
      <c r="C56" s="9" t="s">
        <v>1537</v>
      </c>
    </row>
    <row r="57" spans="1:4">
      <c r="A57" s="2789"/>
      <c r="B57" s="9" t="s">
        <v>1538</v>
      </c>
      <c r="C57" s="9" t="s">
        <v>1539</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住宅案例</vt:lpstr>
      <vt:lpstr>商业案例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2019-04-10T10:40:53Z</dcterms:modified>
</cp:coreProperties>
</file>