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210" windowWidth="11565" windowHeight="9435"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2)" sheetId="71" r:id="rId42"/>
    <sheet name="Sheet3" sheetId="70" r:id="rId43"/>
    <sheet name="Sheet2" sheetId="69" r:id="rId44"/>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8" i="12"/>
  <c r="F10" s="1"/>
  <c r="H8"/>
  <c r="H10" s="1"/>
  <c r="E10"/>
  <c r="F24" i="6"/>
  <c r="F19"/>
  <c r="V4" i="68"/>
  <c r="U4"/>
  <c r="N10" i="1"/>
  <c r="N9"/>
  <c r="N8"/>
  <c r="L9"/>
  <c r="L8"/>
  <c r="AH10"/>
  <c r="Q73" i="71"/>
  <c r="Q60"/>
  <c r="D60"/>
  <c r="Q59"/>
  <c r="K59"/>
  <c r="P75" s="1"/>
  <c r="P62" l="1"/>
  <c r="Q52"/>
  <c r="J50"/>
  <c r="J51" s="1"/>
  <c r="M47"/>
  <c r="L46" l="1"/>
  <c r="F34"/>
  <c r="F61" s="1"/>
  <c r="F33"/>
  <c r="F60" s="1"/>
  <c r="F32"/>
  <c r="F59" s="1"/>
  <c r="F28"/>
  <c r="C28" s="1"/>
  <c r="F23"/>
  <c r="D24" s="1"/>
  <c r="D23" l="1"/>
  <c r="D22"/>
  <c r="F21"/>
  <c r="M20"/>
  <c r="F20"/>
  <c r="M19"/>
  <c r="M18"/>
  <c r="F18"/>
  <c r="F17" l="1"/>
  <c r="F15"/>
  <c r="G23" i="6"/>
  <c r="F22"/>
  <c r="F21"/>
  <c r="F20"/>
  <c r="AA13" i="3"/>
  <c r="U3" i="68"/>
  <c r="U2"/>
  <c r="S19"/>
  <c r="S25"/>
  <c r="S7"/>
  <c r="P73" i="39"/>
  <c r="O73"/>
  <c r="E73"/>
  <c r="F73" s="1"/>
  <c r="G73" s="1"/>
  <c r="H73" s="1"/>
  <c r="I73" s="1"/>
  <c r="J73" s="1"/>
  <c r="K73" s="1"/>
  <c r="L73" s="1"/>
  <c r="M73" s="1"/>
  <c r="N73" s="1"/>
  <c r="D73"/>
  <c r="I48"/>
  <c r="G48"/>
  <c r="E48"/>
  <c r="I40"/>
  <c r="G40"/>
  <c r="E40"/>
  <c r="I9"/>
  <c r="G9"/>
  <c r="E9"/>
  <c r="I7"/>
  <c r="G7"/>
  <c r="E7"/>
  <c r="P3" i="70"/>
  <c r="P4"/>
  <c r="P5"/>
  <c r="P6"/>
  <c r="P7"/>
  <c r="P8"/>
  <c r="P9"/>
  <c r="P10"/>
  <c r="P11"/>
  <c r="P12"/>
  <c r="P13"/>
  <c r="P14"/>
  <c r="P15"/>
  <c r="P16"/>
  <c r="P2"/>
  <c r="K30" i="68"/>
  <c r="L29"/>
  <c r="L30" s="1"/>
  <c r="AN13" i="3"/>
  <c r="AL13"/>
  <c r="K7" i="68" l="1"/>
  <c r="C22"/>
  <c r="D22"/>
  <c r="K28"/>
  <c r="L28"/>
  <c r="M28"/>
  <c r="A21" i="31" l="1"/>
  <c r="C109" i="9" l="1"/>
  <c r="V6" i="59" l="1"/>
  <c r="U6"/>
  <c r="T6"/>
  <c r="S6"/>
  <c r="AH5" l="1"/>
  <c r="AG5"/>
  <c r="AE5"/>
  <c r="AF5" s="1"/>
  <c r="AD5"/>
  <c r="Q5"/>
  <c r="P5"/>
  <c r="O5"/>
  <c r="N5"/>
  <c r="Q7" l="1"/>
  <c r="AB7"/>
  <c r="P7"/>
  <c r="AA7"/>
  <c r="O7"/>
  <c r="Y7"/>
  <c r="Z7" s="1"/>
  <c r="N7"/>
  <c r="X7"/>
  <c r="X6"/>
  <c r="AH6"/>
  <c r="AG6"/>
  <c r="AE6"/>
  <c r="AF6" s="1"/>
  <c r="AD6"/>
  <c r="Q6"/>
  <c r="AB5" s="1"/>
  <c r="P6"/>
  <c r="AA5" s="1"/>
  <c r="O6"/>
  <c r="N6"/>
  <c r="F7"/>
  <c r="F6"/>
  <c r="F5" s="1"/>
  <c r="E7"/>
  <c r="C7"/>
  <c r="C6"/>
  <c r="C5" s="1"/>
  <c r="D5" s="1"/>
  <c r="B7"/>
  <c r="AH7"/>
  <c r="AG7"/>
  <c r="AE7"/>
  <c r="AF7"/>
  <c r="AD7"/>
  <c r="Q8"/>
  <c r="Q9"/>
  <c r="P8"/>
  <c r="P9"/>
  <c r="O8"/>
  <c r="O9"/>
  <c r="N8"/>
  <c r="N9"/>
  <c r="F9"/>
  <c r="F8"/>
  <c r="E9"/>
  <c r="E8"/>
  <c r="C9"/>
  <c r="C8"/>
  <c r="D7"/>
  <c r="B9"/>
  <c r="B8"/>
  <c r="AH8"/>
  <c r="AG8"/>
  <c r="AE8"/>
  <c r="AF8"/>
  <c r="AD8"/>
  <c r="F25" i="12"/>
  <c r="AH9" i="59"/>
  <c r="AG9"/>
  <c r="AE9"/>
  <c r="AF9"/>
  <c r="AD9"/>
  <c r="AB8"/>
  <c r="AA8"/>
  <c r="Y8"/>
  <c r="X8"/>
  <c r="M15" i="49"/>
  <c r="L15"/>
  <c r="K15"/>
  <c r="J15"/>
  <c r="I15"/>
  <c r="H15"/>
  <c r="G15"/>
  <c r="F15"/>
  <c r="E15"/>
  <c r="D15"/>
  <c r="C15"/>
  <c r="B15"/>
  <c r="AH10" i="59"/>
  <c r="AG10"/>
  <c r="AF10"/>
  <c r="AE10"/>
  <c r="AD10"/>
  <c r="Q10"/>
  <c r="P10"/>
  <c r="O10"/>
  <c r="N10"/>
  <c r="L3"/>
  <c r="AH3" s="1"/>
  <c r="K3"/>
  <c r="AG3" s="1"/>
  <c r="J3"/>
  <c r="AE3" s="1"/>
  <c r="AF3" s="1"/>
  <c r="I3"/>
  <c r="AD3" s="1"/>
  <c r="AH11"/>
  <c r="AG11"/>
  <c r="AE11"/>
  <c r="AF11"/>
  <c r="AD11"/>
  <c r="Q11"/>
  <c r="Q12"/>
  <c r="P11"/>
  <c r="P12"/>
  <c r="AA11"/>
  <c r="O11"/>
  <c r="O12"/>
  <c r="N11"/>
  <c r="N12"/>
  <c r="X11"/>
  <c r="AH12"/>
  <c r="AG12"/>
  <c r="AE12"/>
  <c r="AF12"/>
  <c r="AD12"/>
  <c r="Q13"/>
  <c r="P13"/>
  <c r="O13"/>
  <c r="N13"/>
  <c r="M19" i="46"/>
  <c r="J50" i="15"/>
  <c r="J51" s="1"/>
  <c r="D15" i="59"/>
  <c r="AH13"/>
  <c r="AG13"/>
  <c r="AE13"/>
  <c r="AF13"/>
  <c r="AD13"/>
  <c r="AE14"/>
  <c r="AF14"/>
  <c r="AG14"/>
  <c r="AH14"/>
  <c r="AD14"/>
  <c r="Q14"/>
  <c r="AB13"/>
  <c r="P14"/>
  <c r="AA13"/>
  <c r="O14"/>
  <c r="Y13"/>
  <c r="Z13"/>
  <c r="N14"/>
  <c r="X13"/>
  <c r="N15"/>
  <c r="Q15"/>
  <c r="P15"/>
  <c r="O15"/>
  <c r="K59" i="15"/>
  <c r="P75" s="1"/>
  <c r="Q74" i="44"/>
  <c r="Q61"/>
  <c r="Q60"/>
  <c r="Q53"/>
  <c r="J51"/>
  <c r="J52"/>
  <c r="M48"/>
  <c r="A16" i="55"/>
  <c r="A15"/>
  <c r="B66" i="63" s="1"/>
  <c r="A14" i="55"/>
  <c r="A10"/>
  <c r="B61" i="63" s="1"/>
  <c r="A9" i="55"/>
  <c r="B60" i="63" s="1"/>
  <c r="A8" i="55"/>
  <c r="B59" i="63" s="1"/>
  <c r="A6" i="54"/>
  <c r="A8"/>
  <c r="B53" i="63" s="1"/>
  <c r="A7" i="54"/>
  <c r="A28" i="51"/>
  <c r="B21" i="63" s="1"/>
  <c r="A27" i="51"/>
  <c r="B20" i="63"/>
  <c r="Q16" i="59"/>
  <c r="AB14"/>
  <c r="O16"/>
  <c r="Y14"/>
  <c r="Z14"/>
  <c r="N17"/>
  <c r="O17"/>
  <c r="P17"/>
  <c r="Q17"/>
  <c r="N16"/>
  <c r="X14"/>
  <c r="P16"/>
  <c r="B18"/>
  <c r="C18"/>
  <c r="D18"/>
  <c r="E18"/>
  <c r="F18"/>
  <c r="K75" i="9"/>
  <c r="K6" i="4"/>
  <c r="O76" i="9"/>
  <c r="L76"/>
  <c r="K76"/>
  <c r="K77" s="1"/>
  <c r="K79" s="1"/>
  <c r="K81" s="1"/>
  <c r="B22" i="31"/>
  <c r="E15" i="66"/>
  <c r="F15"/>
  <c r="E16"/>
  <c r="F16"/>
  <c r="E17"/>
  <c r="F17"/>
  <c r="E18"/>
  <c r="F18"/>
  <c r="E19"/>
  <c r="F19"/>
  <c r="E20"/>
  <c r="F20"/>
  <c r="E21"/>
  <c r="F21"/>
  <c r="E22"/>
  <c r="F22"/>
  <c r="E23"/>
  <c r="F23"/>
  <c r="B3"/>
  <c r="V18" i="59"/>
  <c r="U18"/>
  <c r="T18"/>
  <c r="S18"/>
  <c r="B17"/>
  <c r="B16"/>
  <c r="B14"/>
  <c r="B13"/>
  <c r="B12"/>
  <c r="E17"/>
  <c r="E16"/>
  <c r="E14"/>
  <c r="E13"/>
  <c r="E12"/>
  <c r="E11"/>
  <c r="E10"/>
  <c r="C17"/>
  <c r="F17"/>
  <c r="F16"/>
  <c r="F14"/>
  <c r="V14"/>
  <c r="U14"/>
  <c r="S14"/>
  <c r="D17"/>
  <c r="C16"/>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D28"/>
  <c r="AE28"/>
  <c r="AF28"/>
  <c r="AG28"/>
  <c r="AH28"/>
  <c r="AH29"/>
  <c r="AG29"/>
  <c r="AE29"/>
  <c r="AF29"/>
  <c r="AD29"/>
  <c r="AD30"/>
  <c r="AE30"/>
  <c r="AF30"/>
  <c r="AG30"/>
  <c r="AH30"/>
  <c r="X19"/>
  <c r="Y19"/>
  <c r="Z19"/>
  <c r="AA19"/>
  <c r="AB19"/>
  <c r="X20"/>
  <c r="Y20"/>
  <c r="Z20"/>
  <c r="AA20"/>
  <c r="AB20"/>
  <c r="X21"/>
  <c r="Y21"/>
  <c r="Z21"/>
  <c r="AA21"/>
  <c r="AB21"/>
  <c r="X22"/>
  <c r="Y22"/>
  <c r="Z22"/>
  <c r="AA22"/>
  <c r="AB22"/>
  <c r="X23"/>
  <c r="Y23"/>
  <c r="Z23"/>
  <c r="AA23"/>
  <c r="AB23"/>
  <c r="X24"/>
  <c r="Y24"/>
  <c r="Z24"/>
  <c r="AA24"/>
  <c r="AB24"/>
  <c r="X25"/>
  <c r="Y25"/>
  <c r="Z25"/>
  <c r="AA25"/>
  <c r="AB25"/>
  <c r="X26"/>
  <c r="Y26"/>
  <c r="Z26"/>
  <c r="AA26"/>
  <c r="AB26"/>
  <c r="X27"/>
  <c r="Y27"/>
  <c r="Z27"/>
  <c r="AA27"/>
  <c r="AB27"/>
  <c r="AB28"/>
  <c r="AA28"/>
  <c r="Y28"/>
  <c r="X28"/>
  <c r="D16"/>
  <c r="S2" i="31"/>
  <c r="M2"/>
  <c r="N2"/>
  <c r="O2"/>
  <c r="P2"/>
  <c r="Q2"/>
  <c r="R2"/>
  <c r="C14" i="59"/>
  <c r="C13"/>
  <c r="C3" i="65"/>
  <c r="C1"/>
  <c r="N1"/>
  <c r="T14" i="59"/>
  <c r="D14"/>
  <c r="B76" i="63"/>
  <c r="M5" i="54"/>
  <c r="A23" i="51"/>
  <c r="Y12" i="46"/>
  <c r="AA9"/>
  <c r="AB9"/>
  <c r="AB10"/>
  <c r="AC9"/>
  <c r="AD9"/>
  <c r="AD10"/>
  <c r="AE9"/>
  <c r="AF9"/>
  <c r="AF10"/>
  <c r="AG9"/>
  <c r="AH9"/>
  <c r="AH10"/>
  <c r="AI9"/>
  <c r="AJ9"/>
  <c r="AJ10"/>
  <c r="Z9"/>
  <c r="Z10"/>
  <c r="AI10"/>
  <c r="AG10"/>
  <c r="AE10"/>
  <c r="AC10"/>
  <c r="AA10"/>
  <c r="Y10"/>
  <c r="Z12"/>
  <c r="AI12"/>
  <c r="AG12"/>
  <c r="AE12"/>
  <c r="AC12"/>
  <c r="AA12"/>
  <c r="B75" i="63"/>
  <c r="B73"/>
  <c r="A21" i="64"/>
  <c r="A28"/>
  <c r="A27"/>
  <c r="A15"/>
  <c r="A14"/>
  <c r="A11"/>
  <c r="A3"/>
  <c r="A45" i="9"/>
  <c r="A44"/>
  <c r="K39" s="1"/>
  <c r="C57" i="10"/>
  <c r="C56"/>
  <c r="A26" i="51" s="1"/>
  <c r="B19" i="63" s="1"/>
  <c r="C55" i="10"/>
  <c r="C54"/>
  <c r="B49" i="63"/>
  <c r="B44"/>
  <c r="B40"/>
  <c r="B30"/>
  <c r="B27"/>
  <c r="B25"/>
  <c r="A11" i="51"/>
  <c r="A26" i="64"/>
  <c r="K40" i="9"/>
  <c r="B58" i="63"/>
  <c r="B51"/>
  <c r="A46" i="9"/>
  <c r="K41"/>
  <c r="B8" i="63"/>
  <c r="A21" i="55"/>
  <c r="B71" i="63" s="1"/>
  <c r="A20" i="55"/>
  <c r="B69" i="63" s="1"/>
  <c r="B26"/>
  <c r="B28"/>
  <c r="B29"/>
  <c r="B31"/>
  <c r="B33"/>
  <c r="B35"/>
  <c r="B36"/>
  <c r="B37"/>
  <c r="B63"/>
  <c r="B64"/>
  <c r="B68"/>
  <c r="D51" i="10"/>
  <c r="B10" i="63"/>
  <c r="B51" i="10"/>
  <c r="B17" i="63"/>
  <c r="A15" i="51"/>
  <c r="B12" i="63" s="1"/>
  <c r="A14" i="51"/>
  <c r="B11" i="63" s="1"/>
  <c r="A4" i="55"/>
  <c r="B57" i="63" s="1"/>
  <c r="B41"/>
  <c r="G5" i="54"/>
  <c r="B34" i="63"/>
  <c r="E5" i="54"/>
  <c r="B32" i="63"/>
  <c r="R2" i="54"/>
  <c r="B24" i="63"/>
  <c r="B49" i="50"/>
  <c r="B5" i="63" s="1"/>
  <c r="B40" i="50"/>
  <c r="B3" i="63" s="1"/>
  <c r="N4"/>
  <c r="B67"/>
  <c r="I19" i="46"/>
  <c r="Q18" i="59"/>
  <c r="P18"/>
  <c r="O18"/>
  <c r="N18"/>
  <c r="D79"/>
  <c r="F78"/>
  <c r="E78"/>
  <c r="E77"/>
  <c r="E76"/>
  <c r="C78"/>
  <c r="D78"/>
  <c r="B78"/>
  <c r="F77"/>
  <c r="F76"/>
  <c r="B77"/>
  <c r="B76"/>
  <c r="D75"/>
  <c r="F74"/>
  <c r="E74"/>
  <c r="E73"/>
  <c r="E72"/>
  <c r="C74"/>
  <c r="D74"/>
  <c r="B74"/>
  <c r="F73"/>
  <c r="F72"/>
  <c r="B73"/>
  <c r="B72"/>
  <c r="D71"/>
  <c r="Q70"/>
  <c r="P70"/>
  <c r="O70"/>
  <c r="N70"/>
  <c r="F70"/>
  <c r="V70"/>
  <c r="E70"/>
  <c r="U70"/>
  <c r="C70"/>
  <c r="T70"/>
  <c r="B70"/>
  <c r="S70"/>
  <c r="Q69"/>
  <c r="P69"/>
  <c r="O69"/>
  <c r="N69"/>
  <c r="F69"/>
  <c r="F68"/>
  <c r="B69"/>
  <c r="B68"/>
  <c r="Q68"/>
  <c r="P68"/>
  <c r="O68"/>
  <c r="N68"/>
  <c r="Q67"/>
  <c r="P67"/>
  <c r="O67"/>
  <c r="N67"/>
  <c r="D67"/>
  <c r="Q66"/>
  <c r="P66"/>
  <c r="O66"/>
  <c r="N66"/>
  <c r="F66"/>
  <c r="V66"/>
  <c r="E66"/>
  <c r="U66"/>
  <c r="C66"/>
  <c r="T66"/>
  <c r="B66"/>
  <c r="S66"/>
  <c r="Q65"/>
  <c r="P65"/>
  <c r="O65"/>
  <c r="N65"/>
  <c r="F65"/>
  <c r="F64"/>
  <c r="B65"/>
  <c r="B64"/>
  <c r="Q64"/>
  <c r="P64"/>
  <c r="O64"/>
  <c r="N64"/>
  <c r="Q63"/>
  <c r="P63"/>
  <c r="O63"/>
  <c r="N63"/>
  <c r="D63"/>
  <c r="Q62"/>
  <c r="P62"/>
  <c r="O62"/>
  <c r="N62"/>
  <c r="F62"/>
  <c r="V62"/>
  <c r="E62"/>
  <c r="U62"/>
  <c r="C62"/>
  <c r="T62"/>
  <c r="B62"/>
  <c r="S62"/>
  <c r="Q61"/>
  <c r="P61"/>
  <c r="O61"/>
  <c r="N61"/>
  <c r="F61"/>
  <c r="F60"/>
  <c r="B61"/>
  <c r="B60"/>
  <c r="Q60"/>
  <c r="P60"/>
  <c r="O60"/>
  <c r="N60"/>
  <c r="Q59"/>
  <c r="P59"/>
  <c r="O59"/>
  <c r="N59"/>
  <c r="D59"/>
  <c r="F58"/>
  <c r="V58"/>
  <c r="E58"/>
  <c r="E57"/>
  <c r="P57"/>
  <c r="C58"/>
  <c r="B58"/>
  <c r="N58"/>
  <c r="F57"/>
  <c r="F56"/>
  <c r="Q56"/>
  <c r="B57"/>
  <c r="Q55"/>
  <c r="D55"/>
  <c r="Q54"/>
  <c r="P54"/>
  <c r="O54"/>
  <c r="N54"/>
  <c r="Q53"/>
  <c r="P53"/>
  <c r="O53"/>
  <c r="N53"/>
  <c r="Q52"/>
  <c r="P52"/>
  <c r="O52"/>
  <c r="N52"/>
  <c r="Q51"/>
  <c r="F52"/>
  <c r="P51"/>
  <c r="E52"/>
  <c r="E53"/>
  <c r="E54"/>
  <c r="U54"/>
  <c r="O51"/>
  <c r="C52"/>
  <c r="N51"/>
  <c r="B52"/>
  <c r="B53"/>
  <c r="B54"/>
  <c r="S54"/>
  <c r="D51"/>
  <c r="Q50"/>
  <c r="P50"/>
  <c r="O50"/>
  <c r="N50"/>
  <c r="Q49"/>
  <c r="P49"/>
  <c r="O49"/>
  <c r="N49"/>
  <c r="Q48"/>
  <c r="P48"/>
  <c r="O48"/>
  <c r="N48"/>
  <c r="Q47"/>
  <c r="F48"/>
  <c r="P47"/>
  <c r="E48"/>
  <c r="E49"/>
  <c r="E50"/>
  <c r="U50"/>
  <c r="O47"/>
  <c r="C48"/>
  <c r="N47"/>
  <c r="B48"/>
  <c r="B49"/>
  <c r="B50"/>
  <c r="S50"/>
  <c r="D47"/>
  <c r="Q46"/>
  <c r="P46"/>
  <c r="O46"/>
  <c r="N46"/>
  <c r="Q45"/>
  <c r="P45"/>
  <c r="O45"/>
  <c r="N45"/>
  <c r="Q44"/>
  <c r="P44"/>
  <c r="O44"/>
  <c r="N44"/>
  <c r="Q43"/>
  <c r="F44"/>
  <c r="P43"/>
  <c r="E44"/>
  <c r="E45"/>
  <c r="E46"/>
  <c r="U46"/>
  <c r="O43"/>
  <c r="C44"/>
  <c r="N43"/>
  <c r="B44"/>
  <c r="B45"/>
  <c r="B46"/>
  <c r="S46"/>
  <c r="D43"/>
  <c r="Q42"/>
  <c r="P42"/>
  <c r="O42"/>
  <c r="N42"/>
  <c r="Q41"/>
  <c r="P41"/>
  <c r="O41"/>
  <c r="N41"/>
  <c r="Q40"/>
  <c r="P40"/>
  <c r="O40"/>
  <c r="N40"/>
  <c r="Q39"/>
  <c r="F40"/>
  <c r="F41"/>
  <c r="F42"/>
  <c r="V42"/>
  <c r="P39"/>
  <c r="E40"/>
  <c r="O39"/>
  <c r="C40"/>
  <c r="N39"/>
  <c r="B40"/>
  <c r="D39"/>
  <c r="T38"/>
  <c r="Q38"/>
  <c r="P38"/>
  <c r="O38"/>
  <c r="N38"/>
  <c r="D38"/>
  <c r="Q37"/>
  <c r="P37"/>
  <c r="O37"/>
  <c r="N37"/>
  <c r="Q36"/>
  <c r="P36"/>
  <c r="O36"/>
  <c r="N36"/>
  <c r="Q35"/>
  <c r="F36"/>
  <c r="P35"/>
  <c r="E36"/>
  <c r="E37"/>
  <c r="E38"/>
  <c r="U38"/>
  <c r="O35"/>
  <c r="C36"/>
  <c r="N35"/>
  <c r="B36"/>
  <c r="B37"/>
  <c r="B38"/>
  <c r="S38"/>
  <c r="D35"/>
  <c r="Q34"/>
  <c r="P34"/>
  <c r="O34"/>
  <c r="N34"/>
  <c r="Q33"/>
  <c r="P33"/>
  <c r="O33"/>
  <c r="N33"/>
  <c r="Q32"/>
  <c r="P32"/>
  <c r="O32"/>
  <c r="N32"/>
  <c r="Q31"/>
  <c r="F32"/>
  <c r="P31"/>
  <c r="E32"/>
  <c r="E33"/>
  <c r="E34"/>
  <c r="U34"/>
  <c r="O31"/>
  <c r="C32"/>
  <c r="N31"/>
  <c r="B32"/>
  <c r="B33"/>
  <c r="B34"/>
  <c r="S34"/>
  <c r="D31"/>
  <c r="Q30"/>
  <c r="P30"/>
  <c r="O30"/>
  <c r="N30"/>
  <c r="Q29"/>
  <c r="AB29"/>
  <c r="P29"/>
  <c r="O29"/>
  <c r="Y29"/>
  <c r="Z29"/>
  <c r="N29"/>
  <c r="X29"/>
  <c r="Q28"/>
  <c r="P28"/>
  <c r="O28"/>
  <c r="N28"/>
  <c r="Q27"/>
  <c r="F28"/>
  <c r="P27"/>
  <c r="E28"/>
  <c r="E29"/>
  <c r="E30"/>
  <c r="U30"/>
  <c r="O27"/>
  <c r="C28"/>
  <c r="N27"/>
  <c r="B28"/>
  <c r="B29"/>
  <c r="B30"/>
  <c r="S30"/>
  <c r="D27"/>
  <c r="Q26"/>
  <c r="P26"/>
  <c r="O26"/>
  <c r="N26"/>
  <c r="Q25"/>
  <c r="P25"/>
  <c r="O25"/>
  <c r="N25"/>
  <c r="Q24"/>
  <c r="P24"/>
  <c r="O24"/>
  <c r="N24"/>
  <c r="Q23"/>
  <c r="F24"/>
  <c r="P23"/>
  <c r="E24"/>
  <c r="E25"/>
  <c r="E26"/>
  <c r="U26"/>
  <c r="O23"/>
  <c r="C24"/>
  <c r="N23"/>
  <c r="B24"/>
  <c r="B25"/>
  <c r="B26"/>
  <c r="S26"/>
  <c r="D23"/>
  <c r="Q22"/>
  <c r="P22"/>
  <c r="O22"/>
  <c r="N22"/>
  <c r="Q21"/>
  <c r="P21"/>
  <c r="O21"/>
  <c r="N21"/>
  <c r="Q20"/>
  <c r="P20"/>
  <c r="O20"/>
  <c r="N20"/>
  <c r="Q19"/>
  <c r="F20"/>
  <c r="P19"/>
  <c r="O19"/>
  <c r="C20"/>
  <c r="N19"/>
  <c r="B20"/>
  <c r="D19"/>
  <c r="X3"/>
  <c r="X15"/>
  <c r="X16"/>
  <c r="X17"/>
  <c r="X18"/>
  <c r="AA3"/>
  <c r="AA15"/>
  <c r="AA16"/>
  <c r="AA17"/>
  <c r="AA18"/>
  <c r="Y15"/>
  <c r="Z15"/>
  <c r="Y16"/>
  <c r="Z16"/>
  <c r="Y17"/>
  <c r="Z17"/>
  <c r="Y18"/>
  <c r="Z18"/>
  <c r="AB18"/>
  <c r="AB3"/>
  <c r="AB15"/>
  <c r="AB16"/>
  <c r="AB17"/>
  <c r="B21"/>
  <c r="B22"/>
  <c r="S22"/>
  <c r="E20"/>
  <c r="E21"/>
  <c r="E22"/>
  <c r="U22"/>
  <c r="B41"/>
  <c r="B42"/>
  <c r="S42"/>
  <c r="E41"/>
  <c r="E42"/>
  <c r="U42"/>
  <c r="S58"/>
  <c r="Z28"/>
  <c r="AA29"/>
  <c r="F21"/>
  <c r="F22"/>
  <c r="V22"/>
  <c r="F25"/>
  <c r="F26"/>
  <c r="V26"/>
  <c r="F29"/>
  <c r="F30"/>
  <c r="V30"/>
  <c r="F33"/>
  <c r="F34"/>
  <c r="V34"/>
  <c r="F37"/>
  <c r="F38"/>
  <c r="V38"/>
  <c r="F45"/>
  <c r="F46"/>
  <c r="V46"/>
  <c r="F49"/>
  <c r="F50"/>
  <c r="V50"/>
  <c r="F53"/>
  <c r="F54"/>
  <c r="V54"/>
  <c r="C21"/>
  <c r="D20"/>
  <c r="C29"/>
  <c r="D28"/>
  <c r="C33"/>
  <c r="D32"/>
  <c r="C37"/>
  <c r="D37"/>
  <c r="D36"/>
  <c r="C41"/>
  <c r="D40"/>
  <c r="C45"/>
  <c r="D44"/>
  <c r="C49"/>
  <c r="D48"/>
  <c r="C53"/>
  <c r="D52"/>
  <c r="C25"/>
  <c r="D24"/>
  <c r="E56"/>
  <c r="N57"/>
  <c r="B56"/>
  <c r="Q57"/>
  <c r="T58"/>
  <c r="O58"/>
  <c r="D58"/>
  <c r="C57"/>
  <c r="P58"/>
  <c r="U58"/>
  <c r="Q58"/>
  <c r="C61"/>
  <c r="E61"/>
  <c r="E60"/>
  <c r="D62"/>
  <c r="C65"/>
  <c r="E65"/>
  <c r="E64"/>
  <c r="D66"/>
  <c r="C69"/>
  <c r="E69"/>
  <c r="E68"/>
  <c r="D70"/>
  <c r="C73"/>
  <c r="C77"/>
  <c r="U16" i="4"/>
  <c r="S16"/>
  <c r="Q16"/>
  <c r="O16"/>
  <c r="M16"/>
  <c r="L16" s="1"/>
  <c r="K16"/>
  <c r="P55" i="59"/>
  <c r="P56"/>
  <c r="D77"/>
  <c r="C76"/>
  <c r="D76"/>
  <c r="D69"/>
  <c r="C68"/>
  <c r="D68"/>
  <c r="D61"/>
  <c r="C60"/>
  <c r="D60"/>
  <c r="C56"/>
  <c r="O57"/>
  <c r="D57"/>
  <c r="D73"/>
  <c r="C72"/>
  <c r="D72"/>
  <c r="D65"/>
  <c r="C64"/>
  <c r="D64"/>
  <c r="N55"/>
  <c r="N56"/>
  <c r="C26"/>
  <c r="D25"/>
  <c r="C54"/>
  <c r="D53"/>
  <c r="D49"/>
  <c r="C50"/>
  <c r="C46"/>
  <c r="D45"/>
  <c r="C42"/>
  <c r="D41"/>
  <c r="C34"/>
  <c r="D33"/>
  <c r="C30"/>
  <c r="D29"/>
  <c r="C22"/>
  <c r="D21"/>
  <c r="N16" i="4"/>
  <c r="T50" i="59"/>
  <c r="D50"/>
  <c r="T22"/>
  <c r="D22"/>
  <c r="T30"/>
  <c r="D30"/>
  <c r="T34"/>
  <c r="D34"/>
  <c r="T42"/>
  <c r="D42"/>
  <c r="T46"/>
  <c r="D46"/>
  <c r="T54"/>
  <c r="D54"/>
  <c r="T26"/>
  <c r="D26"/>
  <c r="O56"/>
  <c r="D56"/>
  <c r="O55"/>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3" s="1"/>
  <c r="D22"/>
  <c r="G17" i="11"/>
  <c r="F15" i="15"/>
  <c r="F17"/>
  <c r="F18"/>
  <c r="F20"/>
  <c r="F21"/>
  <c r="F33"/>
  <c r="F60" s="1"/>
  <c r="K2" i="4"/>
  <c r="K1"/>
  <c r="B1"/>
  <c r="B37" i="50"/>
  <c r="B2" i="63" s="1"/>
  <c r="C31" i="57"/>
  <c r="C32"/>
  <c r="I23"/>
  <c r="D20"/>
  <c r="I19"/>
  <c r="I18"/>
  <c r="I17"/>
  <c r="I20"/>
  <c r="E15"/>
  <c r="I14"/>
  <c r="I13"/>
  <c r="I12"/>
  <c r="I15"/>
  <c r="I9"/>
  <c r="I8"/>
  <c r="I7"/>
  <c r="I6"/>
  <c r="I5"/>
  <c r="I4"/>
  <c r="I3"/>
  <c r="I10"/>
  <c r="I21"/>
  <c r="D1"/>
  <c r="E10"/>
  <c r="C30"/>
  <c r="E26"/>
  <c r="C112" i="9"/>
  <c r="C7" i="11"/>
  <c r="F80" i="46"/>
  <c r="H81" s="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Q73" i="15"/>
  <c r="Q60"/>
  <c r="Q59"/>
  <c r="Q52"/>
  <c r="AE9"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F13"/>
  <c r="AP13" s="1"/>
  <c r="D11"/>
  <c r="D12"/>
  <c r="D13"/>
  <c r="D6"/>
  <c r="D7"/>
  <c r="D8"/>
  <c r="D9"/>
  <c r="G9" s="1"/>
  <c r="F10"/>
  <c r="AP10" s="1"/>
  <c r="D10"/>
  <c r="B2"/>
  <c r="C42"/>
  <c r="C25" i="12" s="1"/>
  <c r="A12" i="1"/>
  <c r="R12"/>
  <c r="A13"/>
  <c r="B13"/>
  <c r="E13" s="1"/>
  <c r="A7"/>
  <c r="A8"/>
  <c r="A9"/>
  <c r="B9" s="1"/>
  <c r="E9" s="1"/>
  <c r="A10"/>
  <c r="B10" s="1"/>
  <c r="E10" s="1"/>
  <c r="A11"/>
  <c r="A6"/>
  <c r="G1" i="71" s="1"/>
  <c r="T4" i="1"/>
  <c r="K12"/>
  <c r="M12" s="1"/>
  <c r="K13"/>
  <c r="M13" s="1"/>
  <c r="O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I60" s="1"/>
  <c r="C60" s="1"/>
  <c r="H59"/>
  <c r="H58"/>
  <c r="I58" s="1"/>
  <c r="C58" s="1"/>
  <c r="H57"/>
  <c r="I57"/>
  <c r="C57" s="1"/>
  <c r="H56"/>
  <c r="I56" s="1"/>
  <c r="C56" s="1"/>
  <c r="H55"/>
  <c r="I55"/>
  <c r="C55" s="1"/>
  <c r="H54"/>
  <c r="I54" s="1"/>
  <c r="C54" s="1"/>
  <c r="H63" i="39"/>
  <c r="I63"/>
  <c r="C63" s="1"/>
  <c r="H59"/>
  <c r="I59" s="1"/>
  <c r="C59" s="1"/>
  <c r="H67"/>
  <c r="I67"/>
  <c r="C67" s="1"/>
  <c r="H66"/>
  <c r="I66" s="1"/>
  <c r="C66" s="1"/>
  <c r="H65"/>
  <c r="I65"/>
  <c r="C65" s="1"/>
  <c r="H64"/>
  <c r="I64" s="1"/>
  <c r="C64" s="1"/>
  <c r="H62"/>
  <c r="I62"/>
  <c r="C62" s="1"/>
  <c r="H61"/>
  <c r="I61" s="1"/>
  <c r="C61" s="1"/>
  <c r="H60"/>
  <c r="I60"/>
  <c r="C60" s="1"/>
  <c r="L25" i="4"/>
  <c r="C145" i="21"/>
  <c r="J142"/>
  <c r="J140"/>
  <c r="K145"/>
  <c r="K139"/>
  <c r="M87"/>
  <c r="L87"/>
  <c r="K87"/>
  <c r="J87"/>
  <c r="I87"/>
  <c r="H87"/>
  <c r="G87"/>
  <c r="F87"/>
  <c r="E87"/>
  <c r="D87"/>
  <c r="G2" i="46"/>
  <c r="H17" s="1"/>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A11" i="55" s="1"/>
  <c r="B62" i="63" s="1"/>
  <c r="L24" i="4"/>
  <c r="A2" i="55"/>
  <c r="B55" i="63"/>
  <c r="N3" i="54"/>
  <c r="B42" i="63"/>
  <c r="A2" i="9"/>
  <c r="T16" i="4"/>
  <c r="D14"/>
  <c r="M4" i="9"/>
  <c r="A30" i="51" s="1"/>
  <c r="B22" i="63" s="1"/>
  <c r="L4" i="9"/>
  <c r="A30" i="64" s="1"/>
  <c r="G36" i="4"/>
  <c r="K2" i="54"/>
  <c r="B23" i="63" s="1"/>
  <c r="A3" i="51"/>
  <c r="R41" i="4"/>
  <c r="Q41"/>
  <c r="P41"/>
  <c r="O41"/>
  <c r="N41"/>
  <c r="M41"/>
  <c r="L41"/>
  <c r="K40"/>
  <c r="T40"/>
  <c r="F23"/>
  <c r="D19"/>
  <c r="I19"/>
  <c r="H19"/>
  <c r="G19"/>
  <c r="F9" i="1"/>
  <c r="AP9" s="1"/>
  <c r="F19" i="4"/>
  <c r="F8" i="1"/>
  <c r="AP8" s="1"/>
  <c r="E19" i="4"/>
  <c r="F7" i="1"/>
  <c r="AP7" s="1"/>
  <c r="B2" i="52"/>
  <c r="E14" s="1"/>
  <c r="I2" i="46"/>
  <c r="N12"/>
  <c r="A7"/>
  <c r="F41" i="4"/>
  <c r="J52" i="40"/>
  <c r="H61" i="49"/>
  <c r="H39" i="46"/>
  <c r="H38"/>
  <c r="H37"/>
  <c r="H36"/>
  <c r="H35"/>
  <c r="H34"/>
  <c r="H33"/>
  <c r="J20"/>
  <c r="C18"/>
  <c r="F15"/>
  <c r="E15"/>
  <c r="D15"/>
  <c r="C15"/>
  <c r="C10"/>
  <c r="C11" s="1"/>
  <c r="C9"/>
  <c r="E32" i="6"/>
  <c r="E21"/>
  <c r="E22"/>
  <c r="E23"/>
  <c r="E24"/>
  <c r="E25"/>
  <c r="E26"/>
  <c r="D38" i="4"/>
  <c r="C39"/>
  <c r="C35"/>
  <c r="E16" i="12"/>
  <c r="F14"/>
  <c r="F15"/>
  <c r="F17"/>
  <c r="E19"/>
  <c r="E21"/>
  <c r="E22"/>
  <c r="F23"/>
  <c r="F24"/>
  <c r="C43" i="9"/>
  <c r="K47"/>
  <c r="B65" i="63"/>
  <c r="I73" i="9"/>
  <c r="F73"/>
  <c r="P73" s="1"/>
  <c r="D107"/>
  <c r="C107" s="1"/>
  <c r="C105" s="1"/>
  <c r="C110" s="1"/>
  <c r="C17"/>
  <c r="D17"/>
  <c r="C18"/>
  <c r="D18" s="1"/>
  <c r="M44" s="1"/>
  <c r="F17" i="44"/>
  <c r="F19"/>
  <c r="F22"/>
  <c r="F25"/>
  <c r="D25" s="1"/>
  <c r="F23"/>
  <c r="E16" i="43"/>
  <c r="F14"/>
  <c r="F15"/>
  <c r="F17"/>
  <c r="F19"/>
  <c r="F20"/>
  <c r="F10" i="40"/>
  <c r="AA10"/>
  <c r="F11"/>
  <c r="AA11"/>
  <c r="C21"/>
  <c r="C32"/>
  <c r="F36"/>
  <c r="AA36"/>
  <c r="H10"/>
  <c r="AB10"/>
  <c r="H11"/>
  <c r="AB11"/>
  <c r="H36"/>
  <c r="AB36"/>
  <c r="J10"/>
  <c r="AC10"/>
  <c r="J11"/>
  <c r="AC11"/>
  <c r="J36"/>
  <c r="AC36"/>
  <c r="F10" i="39"/>
  <c r="S10" s="1"/>
  <c r="F11"/>
  <c r="AA11"/>
  <c r="C25"/>
  <c r="F36"/>
  <c r="AA36"/>
  <c r="F42"/>
  <c r="AA42"/>
  <c r="H10"/>
  <c r="AB10" s="1"/>
  <c r="H11"/>
  <c r="AB11"/>
  <c r="H36"/>
  <c r="AB36"/>
  <c r="H42"/>
  <c r="AB42"/>
  <c r="J10"/>
  <c r="AC10"/>
  <c r="J11"/>
  <c r="AC11"/>
  <c r="J36"/>
  <c r="AC36"/>
  <c r="J42"/>
  <c r="AC42"/>
  <c r="F35" i="44"/>
  <c r="M21"/>
  <c r="F20"/>
  <c r="C6" i="43"/>
  <c r="K9"/>
  <c r="J9"/>
  <c r="I9"/>
  <c r="H9"/>
  <c r="G9"/>
  <c r="F9"/>
  <c r="E9"/>
  <c r="D9"/>
  <c r="C9"/>
  <c r="BC13" i="3"/>
  <c r="BB13"/>
  <c r="BB5" s="1"/>
  <c r="BR13"/>
  <c r="BR5" s="1"/>
  <c r="B24" i="1"/>
  <c r="E77" i="9"/>
  <c r="O75"/>
  <c r="L75"/>
  <c r="F77"/>
  <c r="P75"/>
  <c r="O74"/>
  <c r="O73"/>
  <c r="E66"/>
  <c r="O72"/>
  <c r="F74"/>
  <c r="P74"/>
  <c r="N67"/>
  <c r="K44"/>
  <c r="K43"/>
  <c r="B31" i="1"/>
  <c r="E10" i="11" s="1"/>
  <c r="B22" i="1"/>
  <c r="G26" i="12" s="1"/>
  <c r="B23" i="1"/>
  <c r="BM14" i="3"/>
  <c r="BM15"/>
  <c r="BM16"/>
  <c r="BM17"/>
  <c r="BO14"/>
  <c r="BO15"/>
  <c r="BO16"/>
  <c r="BO17"/>
  <c r="BN14"/>
  <c r="BN15"/>
  <c r="BN16"/>
  <c r="BN17"/>
  <c r="BP14"/>
  <c r="BP15"/>
  <c r="BP16"/>
  <c r="BP17"/>
  <c r="BQ14"/>
  <c r="BL14" s="1"/>
  <c r="AZ14" s="1"/>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B41"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s="1"/>
  <c r="I48" i="37"/>
  <c r="J48"/>
  <c r="G48"/>
  <c r="H48"/>
  <c r="E48"/>
  <c r="F48"/>
  <c r="I55" i="34"/>
  <c r="J55"/>
  <c r="G55"/>
  <c r="H55"/>
  <c r="E55"/>
  <c r="F55"/>
  <c r="I50" i="40"/>
  <c r="J50"/>
  <c r="G50"/>
  <c r="H50"/>
  <c r="E50"/>
  <c r="F50"/>
  <c r="I55" i="39"/>
  <c r="J55" s="1"/>
  <c r="G55"/>
  <c r="H55" s="1"/>
  <c r="E55"/>
  <c r="F55" s="1"/>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s="1"/>
  <c r="F83" s="1"/>
  <c r="G83" s="1"/>
  <c r="H83" s="1"/>
  <c r="I83" s="1"/>
  <c r="J83" s="1"/>
  <c r="K83" s="1"/>
  <c r="L83" s="1"/>
  <c r="M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65" s="1"/>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72" s="1"/>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s="1"/>
  <c r="D59" s="1"/>
  <c r="E59" s="1"/>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s="1"/>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BB12" i="3"/>
  <c r="F9" i="12"/>
  <c r="E9"/>
  <c r="G9"/>
  <c r="K5" i="3"/>
  <c r="E20" i="6" s="1"/>
  <c r="D9" i="12" s="1"/>
  <c r="D10" s="1"/>
  <c r="J5" i="3"/>
  <c r="BE10"/>
  <c r="BD13"/>
  <c r="BE13"/>
  <c r="BE5" s="1"/>
  <c r="BF13"/>
  <c r="BF5" s="1"/>
  <c r="BG13"/>
  <c r="BG5" s="1"/>
  <c r="BH13"/>
  <c r="BH5" s="1"/>
  <c r="BI13"/>
  <c r="BI5" s="1"/>
  <c r="BJ13"/>
  <c r="BJ5" s="1"/>
  <c r="BK13"/>
  <c r="BK5" s="1"/>
  <c r="BM13"/>
  <c r="BN13"/>
  <c r="BO13"/>
  <c r="BP13"/>
  <c r="BS13"/>
  <c r="BT13"/>
  <c r="BT5" s="1"/>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E19" i="6" s="1"/>
  <c r="L5" i="3"/>
  <c r="M5"/>
  <c r="N5"/>
  <c r="O5"/>
  <c r="P5"/>
  <c r="Q5"/>
  <c r="R5"/>
  <c r="S5"/>
  <c r="T5"/>
  <c r="U5"/>
  <c r="V5"/>
  <c r="W5"/>
  <c r="X5"/>
  <c r="Y5"/>
  <c r="Z5"/>
  <c r="AA5"/>
  <c r="AB5"/>
  <c r="H570"/>
  <c r="G570"/>
  <c r="H571"/>
  <c r="H572"/>
  <c r="F5"/>
  <c r="G27" i="6"/>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AL5" i="3"/>
  <c r="BQ13"/>
  <c r="BQ5" s="1"/>
  <c r="F28" i="6" s="1"/>
  <c r="BL572" i="3"/>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S27" i="31"/>
  <c r="AZ558" i="3"/>
  <c r="AZ540"/>
  <c r="AZ560"/>
  <c r="G483"/>
  <c r="G515"/>
  <c r="G507"/>
  <c r="G501"/>
  <c r="BA15"/>
  <c r="BL17"/>
  <c r="BL15"/>
  <c r="BA14"/>
  <c r="J57" i="39"/>
  <c r="H13" i="40"/>
  <c r="U13"/>
  <c r="H12" i="48"/>
  <c r="I4" i="4"/>
  <c r="K141" i="21"/>
  <c r="K143"/>
  <c r="K144"/>
  <c r="I59" i="40"/>
  <c r="C59"/>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6"/>
  <c r="H9"/>
  <c r="H8"/>
  <c r="C12" i="46"/>
  <c r="AB16" i="35"/>
  <c r="AB15" i="37"/>
  <c r="AA43" i="21"/>
  <c r="U43"/>
  <c r="AA13" i="40"/>
  <c r="E78"/>
  <c r="F78"/>
  <c r="G78"/>
  <c r="H78"/>
  <c r="I78"/>
  <c r="J78"/>
  <c r="K78"/>
  <c r="L78"/>
  <c r="M78"/>
  <c r="R16" i="4"/>
  <c r="P16"/>
  <c r="D3" i="35"/>
  <c r="G4" i="4"/>
  <c r="S37" i="34"/>
  <c r="J16" i="35"/>
  <c r="W16"/>
  <c r="U42" i="21"/>
  <c r="AC26" i="36"/>
  <c r="W25" i="35"/>
  <c r="AZ300" i="3"/>
  <c r="AZ354"/>
  <c r="AZ322"/>
  <c r="H13" i="39"/>
  <c r="AB13" s="1"/>
  <c r="F13"/>
  <c r="AA13" s="1"/>
  <c r="J13"/>
  <c r="AC13" s="1"/>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AC5" i="3"/>
  <c r="F17" i="21"/>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J21"/>
  <c r="W21"/>
  <c r="F33"/>
  <c r="H33"/>
  <c r="U33"/>
  <c r="J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J29" i="35"/>
  <c r="AC29"/>
  <c r="F29"/>
  <c r="S29"/>
  <c r="W30" i="36"/>
  <c r="AC30"/>
  <c r="F37" i="39"/>
  <c r="S37"/>
  <c r="H37"/>
  <c r="U37"/>
  <c r="J37"/>
  <c r="W37"/>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A481"/>
  <c r="AZ481"/>
  <c r="BL19"/>
  <c r="AZ19"/>
  <c r="BA18"/>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c r="E97"/>
  <c r="F27"/>
  <c r="AA27"/>
  <c r="H27"/>
  <c r="AB27"/>
  <c r="J27"/>
  <c r="AC27"/>
  <c r="F15" i="40"/>
  <c r="AA15"/>
  <c r="J15"/>
  <c r="H15"/>
  <c r="AB15"/>
  <c r="E92"/>
  <c r="F92"/>
  <c r="H23"/>
  <c r="U23"/>
  <c r="H41"/>
  <c r="AB41"/>
  <c r="F41"/>
  <c r="AA41"/>
  <c r="J41"/>
  <c r="H36" i="33"/>
  <c r="AB36"/>
  <c r="H37" i="34"/>
  <c r="F15" i="39"/>
  <c r="AA15"/>
  <c r="H15"/>
  <c r="U15"/>
  <c r="J15"/>
  <c r="AC15"/>
  <c r="H25"/>
  <c r="U25"/>
  <c r="J25"/>
  <c r="AC25"/>
  <c r="F25"/>
  <c r="AA25"/>
  <c r="F45"/>
  <c r="AA45"/>
  <c r="H45"/>
  <c r="U45"/>
  <c r="J45"/>
  <c r="AC45"/>
  <c r="F47"/>
  <c r="AA47"/>
  <c r="H47"/>
  <c r="AB47"/>
  <c r="J47"/>
  <c r="W47"/>
  <c r="F41"/>
  <c r="AA41"/>
  <c r="H41"/>
  <c r="AB41"/>
  <c r="J41"/>
  <c r="AC41"/>
  <c r="E94" i="40"/>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J42" i="40"/>
  <c r="AC42"/>
  <c r="J40"/>
  <c r="AC40"/>
  <c r="J34"/>
  <c r="AC34"/>
  <c r="H16"/>
  <c r="AB16"/>
  <c r="H14"/>
  <c r="U14"/>
  <c r="F32"/>
  <c r="AA32"/>
  <c r="AZ401" i="3"/>
  <c r="AZ428"/>
  <c r="AZ433"/>
  <c r="AZ436"/>
  <c r="AZ441"/>
  <c r="AZ444"/>
  <c r="AZ449"/>
  <c r="AZ452"/>
  <c r="M1" i="46"/>
  <c r="M6"/>
  <c r="M10"/>
  <c r="N2"/>
  <c r="N5"/>
  <c r="F58"/>
  <c r="H61"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F69"/>
  <c r="H73" s="1"/>
  <c r="H71"/>
  <c r="AZ164" i="3"/>
  <c r="AZ167"/>
  <c r="AZ177"/>
  <c r="AZ180"/>
  <c r="AZ24"/>
  <c r="AZ32"/>
  <c r="AZ40"/>
  <c r="AZ48"/>
  <c r="AZ56"/>
  <c r="AZ63"/>
  <c r="AZ71"/>
  <c r="AZ79"/>
  <c r="AZ91"/>
  <c r="AZ99"/>
  <c r="AZ107"/>
  <c r="AZ112"/>
  <c r="J13" i="40"/>
  <c r="W13"/>
  <c r="AB14"/>
  <c r="W40"/>
  <c r="AC14"/>
  <c r="W35"/>
  <c r="S33"/>
  <c r="AB32"/>
  <c r="AC47" i="39"/>
  <c r="S47"/>
  <c r="AB25"/>
  <c r="U37" i="34"/>
  <c r="AB37"/>
  <c r="AC41" i="40"/>
  <c r="W41"/>
  <c r="U41"/>
  <c r="J23"/>
  <c r="AC23"/>
  <c r="G92"/>
  <c r="F23"/>
  <c r="S23"/>
  <c r="AC15"/>
  <c r="W15"/>
  <c r="W27" i="39"/>
  <c r="S23"/>
  <c r="AB16"/>
  <c r="W14"/>
  <c r="U23" i="35"/>
  <c r="AB23"/>
  <c r="H20"/>
  <c r="F20"/>
  <c r="S20"/>
  <c r="H15" i="34"/>
  <c r="AB15"/>
  <c r="F78"/>
  <c r="G78"/>
  <c r="J15"/>
  <c r="H41" i="33"/>
  <c r="U41"/>
  <c r="F121"/>
  <c r="G121"/>
  <c r="H121"/>
  <c r="I121"/>
  <c r="J121"/>
  <c r="K121"/>
  <c r="L121"/>
  <c r="M121"/>
  <c r="F30" i="40"/>
  <c r="AA30"/>
  <c r="H100"/>
  <c r="I100"/>
  <c r="J100"/>
  <c r="K100"/>
  <c r="L100"/>
  <c r="M100"/>
  <c r="AB38" i="34"/>
  <c r="AZ486" i="3"/>
  <c r="AZ497"/>
  <c r="AZ504"/>
  <c r="AZ515"/>
  <c r="AZ529"/>
  <c r="AZ530"/>
  <c r="AZ537"/>
  <c r="AZ547"/>
  <c r="AZ548"/>
  <c r="AZ549"/>
  <c r="AB37" i="39"/>
  <c r="AA29" i="35"/>
  <c r="U39" i="39"/>
  <c r="J29"/>
  <c r="AC29"/>
  <c r="AB21"/>
  <c r="U21"/>
  <c r="AB17"/>
  <c r="AB33" i="36"/>
  <c r="AA11"/>
  <c r="AA14" i="35"/>
  <c r="S14"/>
  <c r="G99" i="37"/>
  <c r="F33"/>
  <c r="AB19" i="39"/>
  <c r="U19"/>
  <c r="U46" i="34"/>
  <c r="AC30"/>
  <c r="AA14"/>
  <c r="W12"/>
  <c r="U29" i="33"/>
  <c r="AC13"/>
  <c r="U17" i="34"/>
  <c r="AA11"/>
  <c r="W32" i="33"/>
  <c r="H15"/>
  <c r="U15"/>
  <c r="AA11"/>
  <c r="AA40" i="21"/>
  <c r="U17"/>
  <c r="U16" i="40"/>
  <c r="W34"/>
  <c r="AB34"/>
  <c r="AB42"/>
  <c r="U42"/>
  <c r="AC16"/>
  <c r="W32"/>
  <c r="H25"/>
  <c r="AB25"/>
  <c r="F94"/>
  <c r="G94"/>
  <c r="U47" i="39"/>
  <c r="W15"/>
  <c r="J37" i="34"/>
  <c r="AC37"/>
  <c r="J36" i="33"/>
  <c r="W36"/>
  <c r="S41" i="40"/>
  <c r="AB23"/>
  <c r="U27" i="39"/>
  <c r="H23"/>
  <c r="AB23"/>
  <c r="J23"/>
  <c r="AC23"/>
  <c r="F97"/>
  <c r="G97"/>
  <c r="S16"/>
  <c r="S15" i="34"/>
  <c r="AA15"/>
  <c r="AA41" i="33"/>
  <c r="AA34"/>
  <c r="F106"/>
  <c r="G106"/>
  <c r="H106"/>
  <c r="I106"/>
  <c r="J106"/>
  <c r="K106"/>
  <c r="L106"/>
  <c r="M106"/>
  <c r="J34"/>
  <c r="AC34"/>
  <c r="U30" i="40"/>
  <c r="AA37" i="39"/>
  <c r="W29" i="35"/>
  <c r="AC39" i="39"/>
  <c r="W39"/>
  <c r="AA39"/>
  <c r="S39"/>
  <c r="U34"/>
  <c r="AB29"/>
  <c r="AB46"/>
  <c r="AB44"/>
  <c r="AC33"/>
  <c r="W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AC16" i="35"/>
  <c r="AC13" i="40"/>
  <c r="J11" i="34"/>
  <c r="W11"/>
  <c r="S17"/>
  <c r="AC36" i="33"/>
  <c r="F25" i="40"/>
  <c r="AA25"/>
  <c r="J11" i="33"/>
  <c r="W11"/>
  <c r="H33" i="37"/>
  <c r="AB33"/>
  <c r="W15" i="34"/>
  <c r="AC15"/>
  <c r="U20" i="35"/>
  <c r="AB20"/>
  <c r="W23" i="40"/>
  <c r="D73" i="9"/>
  <c r="N73"/>
  <c r="AP11" i="1"/>
  <c r="K11"/>
  <c r="M11" s="1"/>
  <c r="B7"/>
  <c r="E7" s="1"/>
  <c r="C20" i="43"/>
  <c r="F6" i="1"/>
  <c r="AP6" s="1"/>
  <c r="G11"/>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S11"/>
  <c r="AB45"/>
  <c r="S27"/>
  <c r="AA21"/>
  <c r="AC19"/>
  <c r="AC38"/>
  <c r="W29"/>
  <c r="S29"/>
  <c r="AC21"/>
  <c r="AC17"/>
  <c r="S14"/>
  <c r="AB15"/>
  <c r="U11"/>
  <c r="U41"/>
  <c r="U23"/>
  <c r="AB38"/>
  <c r="U31"/>
  <c r="AB31"/>
  <c r="S25"/>
  <c r="S38"/>
  <c r="S22" i="31"/>
  <c r="M20" i="15"/>
  <c r="A18" i="64"/>
  <c r="B74" i="63" s="1"/>
  <c r="C53" i="10"/>
  <c r="A25" i="64" s="1"/>
  <c r="A18" i="51"/>
  <c r="B14" i="63" s="1"/>
  <c r="BA16" i="3"/>
  <c r="BA17"/>
  <c r="AZ17"/>
  <c r="G3" i="46"/>
  <c r="Y11" s="1"/>
  <c r="Y13" s="1"/>
  <c r="AZ15" i="3"/>
  <c r="BO5"/>
  <c r="BP5"/>
  <c r="G29" i="6" s="1"/>
  <c r="BN5" i="3"/>
  <c r="BL18"/>
  <c r="AZ18"/>
  <c r="BC5"/>
  <c r="BD5"/>
  <c r="BS5"/>
  <c r="BL16"/>
  <c r="BM5"/>
  <c r="F29" i="6" s="1"/>
  <c r="E29" s="1"/>
  <c r="K15" i="1" s="1"/>
  <c r="D24" i="44"/>
  <c r="G21" i="43"/>
  <c r="N8" i="46"/>
  <c r="N4"/>
  <c r="N1"/>
  <c r="F47"/>
  <c r="H49" s="1"/>
  <c r="M9"/>
  <c r="M2"/>
  <c r="N11"/>
  <c r="N9"/>
  <c r="M4"/>
  <c r="M12"/>
  <c r="M8"/>
  <c r="M3"/>
  <c r="M5"/>
  <c r="C6"/>
  <c r="H6" i="48"/>
  <c r="H15"/>
  <c r="H5"/>
  <c r="H14"/>
  <c r="K17" i="46"/>
  <c r="H13" i="48"/>
  <c r="H11"/>
  <c r="D17" i="46"/>
  <c r="D71"/>
  <c r="D84"/>
  <c r="E80"/>
  <c r="B78"/>
  <c r="D69"/>
  <c r="E69"/>
  <c r="B67"/>
  <c r="E47"/>
  <c r="E58"/>
  <c r="B56"/>
  <c r="A4" i="64"/>
  <c r="A4" i="51"/>
  <c r="C51" i="10"/>
  <c r="I100" i="46"/>
  <c r="C24"/>
  <c r="N100"/>
  <c r="H100"/>
  <c r="F108"/>
  <c r="H80"/>
  <c r="B45"/>
  <c r="E100"/>
  <c r="G100"/>
  <c r="H84"/>
  <c r="C100"/>
  <c r="J100"/>
  <c r="M100"/>
  <c r="AA12" i="36"/>
  <c r="U12" i="35"/>
  <c r="AB12"/>
  <c r="W11"/>
  <c r="AA11"/>
  <c r="S14" i="37"/>
  <c r="U13"/>
  <c r="S13" i="21"/>
  <c r="C24" i="9"/>
  <c r="C25"/>
  <c r="G8" i="1"/>
  <c r="I20" i="46"/>
  <c r="C20" s="1"/>
  <c r="B6" i="63"/>
  <c r="L5" i="54"/>
  <c r="B39" i="63"/>
  <c r="K5" i="54"/>
  <c r="A3" i="55" s="1"/>
  <c r="B56" i="63" s="1"/>
  <c r="T41" i="4"/>
  <c r="A17" i="64"/>
  <c r="B46" i="50"/>
  <c r="B4" i="63" s="1"/>
  <c r="C46" i="36"/>
  <c r="C48" i="35"/>
  <c r="D48"/>
  <c r="E48" s="1"/>
  <c r="F48" s="1"/>
  <c r="G48" s="1"/>
  <c r="C52" i="37"/>
  <c r="D52" s="1"/>
  <c r="O19" i="46"/>
  <c r="H86"/>
  <c r="H82"/>
  <c r="H10" i="48"/>
  <c r="H87" i="46"/>
  <c r="H85"/>
  <c r="H83"/>
  <c r="S13" i="1"/>
  <c r="R13"/>
  <c r="B6"/>
  <c r="E6" s="1"/>
  <c r="B8"/>
  <c r="E8" s="1"/>
  <c r="B12"/>
  <c r="E12" s="1"/>
  <c r="S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S32" i="40"/>
  <c r="C27" i="39"/>
  <c r="C17" i="40"/>
  <c r="C19"/>
  <c r="C17" i="39"/>
  <c r="C19"/>
  <c r="C21"/>
  <c r="C23" i="40"/>
  <c r="B48" i="46"/>
  <c r="B51"/>
  <c r="B55"/>
  <c r="B59"/>
  <c r="B62"/>
  <c r="B66"/>
  <c r="B53"/>
  <c r="B64"/>
  <c r="D24" i="15"/>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W31" i="39"/>
  <c r="AC31"/>
  <c r="B20" i="31"/>
  <c r="R22"/>
  <c r="B21"/>
  <c r="A17" i="51"/>
  <c r="B13" i="63"/>
  <c r="AT6" i="3"/>
  <c r="AZ16"/>
  <c r="A9" i="64"/>
  <c r="A9" i="51"/>
  <c r="B9" i="63"/>
  <c r="E4" i="4"/>
  <c r="B21" i="55" s="1"/>
  <c r="B72" i="63" s="1"/>
  <c r="C4" i="4"/>
  <c r="B20" i="55" s="1"/>
  <c r="B70" i="63" s="1"/>
  <c r="G66" i="36"/>
  <c r="J18"/>
  <c r="AE8" i="1"/>
  <c r="AE7"/>
  <c r="W18" i="36"/>
  <c r="AC18"/>
  <c r="AG6" i="1"/>
  <c r="L20" i="6"/>
  <c r="L19"/>
  <c r="C45" i="9"/>
  <c r="O40" s="1"/>
  <c r="H14" i="66"/>
  <c r="B7" s="1"/>
  <c r="K29" i="9"/>
  <c r="K30" s="1"/>
  <c r="N76"/>
  <c r="C46"/>
  <c r="I14" i="66" s="1"/>
  <c r="B8" s="1"/>
  <c r="K33" i="9"/>
  <c r="A25" i="51"/>
  <c r="B18" i="63"/>
  <c r="D58" i="21"/>
  <c r="E58" s="1"/>
  <c r="F58" s="1"/>
  <c r="H58" i="46"/>
  <c r="J17"/>
  <c r="C17"/>
  <c r="F38"/>
  <c r="F37"/>
  <c r="H113"/>
  <c r="H53"/>
  <c r="D13" i="59"/>
  <c r="C12"/>
  <c r="D12"/>
  <c r="U10"/>
  <c r="F13"/>
  <c r="F12"/>
  <c r="F11"/>
  <c r="F10"/>
  <c r="Y12"/>
  <c r="Z12"/>
  <c r="AA12"/>
  <c r="AB12"/>
  <c r="Y11"/>
  <c r="Z11"/>
  <c r="Y10"/>
  <c r="Z10" s="1"/>
  <c r="Z8"/>
  <c r="Y9"/>
  <c r="Z9" s="1"/>
  <c r="AB11"/>
  <c r="AB10"/>
  <c r="AB9"/>
  <c r="AA14"/>
  <c r="X12"/>
  <c r="X10"/>
  <c r="X9"/>
  <c r="AA10"/>
  <c r="AA9"/>
  <c r="C15" i="43"/>
  <c r="C15" i="12"/>
  <c r="H1" i="65"/>
  <c r="X7" i="46"/>
  <c r="E17"/>
  <c r="N17"/>
  <c r="M17"/>
  <c r="L17"/>
  <c r="G6" i="1"/>
  <c r="H70" i="46"/>
  <c r="H50"/>
  <c r="H48"/>
  <c r="F35"/>
  <c r="H63"/>
  <c r="H64"/>
  <c r="D100"/>
  <c r="H62"/>
  <c r="AF12"/>
  <c r="K100"/>
  <c r="AB12"/>
  <c r="AJ12"/>
  <c r="H59"/>
  <c r="H74"/>
  <c r="H65"/>
  <c r="H72"/>
  <c r="H69"/>
  <c r="H77"/>
  <c r="H55"/>
  <c r="H54"/>
  <c r="H52"/>
  <c r="AD12"/>
  <c r="AH12"/>
  <c r="C11" i="59"/>
  <c r="C10"/>
  <c r="T10"/>
  <c r="B11"/>
  <c r="B10"/>
  <c r="S10"/>
  <c r="D11"/>
  <c r="V10"/>
  <c r="D10"/>
  <c r="D9"/>
  <c r="D8"/>
  <c r="G20" i="46"/>
  <c r="E41"/>
  <c r="C41" s="1"/>
  <c r="F40" i="71"/>
  <c r="F36"/>
  <c r="F26"/>
  <c r="F16"/>
  <c r="F9"/>
  <c r="M6"/>
  <c r="I5" i="65"/>
  <c r="N7"/>
  <c r="E10" i="67"/>
  <c r="I3" i="65"/>
  <c r="E14" i="67"/>
  <c r="I4" i="65"/>
  <c r="B13" i="67"/>
  <c r="J3" i="65"/>
  <c r="N5"/>
  <c r="L47" i="71"/>
  <c r="M27"/>
  <c r="F13"/>
  <c r="E12" i="67"/>
  <c r="F10"/>
  <c r="E13"/>
  <c r="N6" i="65"/>
  <c r="J4"/>
  <c r="F42" i="71"/>
  <c r="J36"/>
  <c r="M26"/>
  <c r="M22"/>
  <c r="M9"/>
  <c r="F7"/>
  <c r="F14" i="67"/>
  <c r="E9"/>
  <c r="N3" i="65"/>
  <c r="E8" i="67"/>
  <c r="B14"/>
  <c r="J5" i="65"/>
  <c r="J6"/>
  <c r="E11" i="67"/>
  <c r="B10"/>
  <c r="F37" i="71"/>
  <c r="M23"/>
  <c r="F8"/>
  <c r="F8" i="67"/>
  <c r="F12"/>
  <c r="N4" i="65"/>
  <c r="F13" i="67"/>
  <c r="L48" i="71"/>
  <c r="F38"/>
  <c r="M28"/>
  <c r="M24"/>
  <c r="J15"/>
  <c r="M8"/>
  <c r="F6"/>
  <c r="F31" s="1"/>
  <c r="B8" i="67"/>
  <c r="B9"/>
  <c r="F9"/>
  <c r="I7" i="65"/>
  <c r="B11" i="67"/>
  <c r="B12"/>
  <c r="F11"/>
  <c r="J7" i="65"/>
  <c r="I6"/>
  <c r="B11" i="1" l="1"/>
  <c r="E11" s="1"/>
  <c r="C6" i="71"/>
  <c r="M7"/>
  <c r="F49"/>
  <c r="F50"/>
  <c r="C27"/>
  <c r="F63"/>
  <c r="Q72"/>
  <c r="F64"/>
  <c r="F65"/>
  <c r="F67"/>
  <c r="L58"/>
  <c r="L59"/>
  <c r="I54"/>
  <c r="J60"/>
  <c r="Q49" s="1"/>
  <c r="L56"/>
  <c r="J57"/>
  <c r="J55" s="1"/>
  <c r="J58" s="1"/>
  <c r="Q51" s="1"/>
  <c r="L57"/>
  <c r="L60"/>
  <c r="J59"/>
  <c r="J53"/>
  <c r="K10" i="1"/>
  <c r="K8"/>
  <c r="M8" s="1"/>
  <c r="O8" s="1"/>
  <c r="P8" s="1"/>
  <c r="B113" i="46"/>
  <c r="D118" s="1"/>
  <c r="E118" s="1"/>
  <c r="F118" s="1"/>
  <c r="AJ11"/>
  <c r="AJ13" s="1"/>
  <c r="P62" i="15"/>
  <c r="K1" i="12"/>
  <c r="D101" i="46"/>
  <c r="D104" s="1"/>
  <c r="E5" i="6"/>
  <c r="D21" i="12" s="1"/>
  <c r="C21" s="1"/>
  <c r="E8" i="46"/>
  <c r="E11"/>
  <c r="E9"/>
  <c r="E10"/>
  <c r="K6" i="1"/>
  <c r="M6" s="1"/>
  <c r="O6" s="1"/>
  <c r="C9" i="12"/>
  <c r="K31" i="9"/>
  <c r="K32" s="1"/>
  <c r="R7" i="54"/>
  <c r="B52" i="63" s="1"/>
  <c r="B38"/>
  <c r="O41" i="9"/>
  <c r="H47" i="46"/>
  <c r="H76"/>
  <c r="H75"/>
  <c r="H60"/>
  <c r="H66"/>
  <c r="I17"/>
  <c r="O17"/>
  <c r="H51"/>
  <c r="F34"/>
  <c r="C44" i="9"/>
  <c r="F39" i="46"/>
  <c r="K9" i="1"/>
  <c r="M9" s="1"/>
  <c r="O9" s="1"/>
  <c r="P9" s="1"/>
  <c r="F33" i="46"/>
  <c r="G13" i="3"/>
  <c r="G5" s="1"/>
  <c r="B3" s="1"/>
  <c r="K7" i="1"/>
  <c r="M7" s="1"/>
  <c r="O7" s="1"/>
  <c r="P7" s="1"/>
  <c r="F36" i="46"/>
  <c r="D26" i="44"/>
  <c r="M43" i="9"/>
  <c r="AA10" i="39"/>
  <c r="S13"/>
  <c r="W13"/>
  <c r="U13"/>
  <c r="F27" i="43"/>
  <c r="C27" s="1"/>
  <c r="F72" i="9"/>
  <c r="F29" i="12"/>
  <c r="F31" i="43"/>
  <c r="C31" s="1"/>
  <c r="D86" i="9"/>
  <c r="M18" i="15"/>
  <c r="F70" i="9"/>
  <c r="F30" i="44"/>
  <c r="C30" s="1"/>
  <c r="F28" i="15"/>
  <c r="C28" s="1"/>
  <c r="F34" i="44"/>
  <c r="F71" i="9"/>
  <c r="M20" i="44"/>
  <c r="F32" i="15"/>
  <c r="F59" s="1"/>
  <c r="F66" i="9"/>
  <c r="P72" s="1"/>
  <c r="D111"/>
  <c r="D96"/>
  <c r="G27" i="12"/>
  <c r="G22" i="43"/>
  <c r="G28" i="12"/>
  <c r="C2" i="65"/>
  <c r="I1" s="1"/>
  <c r="G23" i="43"/>
  <c r="L27" i="6"/>
  <c r="K1" i="43"/>
  <c r="G1" i="15"/>
  <c r="G1" i="44"/>
  <c r="F3" i="35"/>
  <c r="G28" i="6"/>
  <c r="E28" s="1"/>
  <c r="BL13" i="3"/>
  <c r="BL5" s="1"/>
  <c r="I4" i="6"/>
  <c r="E101" i="46"/>
  <c r="E103" s="1"/>
  <c r="AI11"/>
  <c r="AI13" s="1"/>
  <c r="AG11"/>
  <c r="AG13" s="1"/>
  <c r="M101"/>
  <c r="M103" s="1"/>
  <c r="H101"/>
  <c r="H109" s="1"/>
  <c r="AF11"/>
  <c r="AF13" s="1"/>
  <c r="Z11"/>
  <c r="Z13" s="1"/>
  <c r="Z7"/>
  <c r="N104" i="45"/>
  <c r="C101" i="46"/>
  <c r="C103" s="1"/>
  <c r="N101"/>
  <c r="N106" s="1"/>
  <c r="G22"/>
  <c r="C23"/>
  <c r="C21" s="1"/>
  <c r="AE11"/>
  <c r="AE13" s="1"/>
  <c r="AH11"/>
  <c r="AH13" s="1"/>
  <c r="K101"/>
  <c r="K102" s="1"/>
  <c r="L101"/>
  <c r="L109" s="1"/>
  <c r="G101"/>
  <c r="G106" s="1"/>
  <c r="AC11"/>
  <c r="AC13" s="1"/>
  <c r="J22"/>
  <c r="H22"/>
  <c r="AB11"/>
  <c r="AB13" s="1"/>
  <c r="AA11"/>
  <c r="AA13" s="1"/>
  <c r="E22"/>
  <c r="F22"/>
  <c r="J101"/>
  <c r="J107" s="1"/>
  <c r="AD11"/>
  <c r="AD13" s="1"/>
  <c r="I101"/>
  <c r="I104" s="1"/>
  <c r="F101"/>
  <c r="F109" s="1"/>
  <c r="E8" i="6"/>
  <c r="E53" i="40" s="1"/>
  <c r="BA13" i="3"/>
  <c r="BA5" s="1"/>
  <c r="E14" i="6"/>
  <c r="E66" i="39" s="1"/>
  <c r="E10" i="6"/>
  <c r="AZ13" i="3"/>
  <c r="AZ5" s="1"/>
  <c r="O12" i="1"/>
  <c r="P12" s="1"/>
  <c r="F30" i="6"/>
  <c r="O11" i="1"/>
  <c r="P11" s="1"/>
  <c r="E12" i="6"/>
  <c r="P13" i="1"/>
  <c r="E11" i="6"/>
  <c r="E13"/>
  <c r="E15"/>
  <c r="G10" i="1"/>
  <c r="G13"/>
  <c r="G12"/>
  <c r="G7"/>
  <c r="K17" i="4"/>
  <c r="A22" i="51" s="1"/>
  <c r="B16" i="63" s="1"/>
  <c r="H48" i="35"/>
  <c r="I48" s="1"/>
  <c r="J48" s="1"/>
  <c r="K48" s="1"/>
  <c r="L48" s="1"/>
  <c r="M48" s="1"/>
  <c r="N48" s="1"/>
  <c r="O48" s="1"/>
  <c r="F59" i="34"/>
  <c r="G59" s="1"/>
  <c r="H59" s="1"/>
  <c r="I59" s="1"/>
  <c r="J59" s="1"/>
  <c r="K59" s="1"/>
  <c r="L59" s="1"/>
  <c r="M59" s="1"/>
  <c r="N59" s="1"/>
  <c r="O59" s="1"/>
  <c r="D58" i="33"/>
  <c r="E58" s="1"/>
  <c r="F58" s="1"/>
  <c r="G58" s="1"/>
  <c r="H58" s="1"/>
  <c r="I58" s="1"/>
  <c r="J58" s="1"/>
  <c r="K58" s="1"/>
  <c r="L58" s="1"/>
  <c r="M58" s="1"/>
  <c r="N58" s="1"/>
  <c r="O58" s="1"/>
  <c r="H7"/>
  <c r="D67" i="40"/>
  <c r="E65"/>
  <c r="G58" i="21"/>
  <c r="H58" s="1"/>
  <c r="I58" s="1"/>
  <c r="J58" s="1"/>
  <c r="K58" s="1"/>
  <c r="L58" s="1"/>
  <c r="M58" s="1"/>
  <c r="N58" s="1"/>
  <c r="O58" s="1"/>
  <c r="F7"/>
  <c r="E52" i="37"/>
  <c r="AP12" i="1"/>
  <c r="C67" i="40"/>
  <c r="D70" i="39"/>
  <c r="D46" i="36"/>
  <c r="E46" s="1"/>
  <c r="F46" s="1"/>
  <c r="G46" s="1"/>
  <c r="H46" s="1"/>
  <c r="I46" s="1"/>
  <c r="J46" s="1"/>
  <c r="K46" s="1"/>
  <c r="L46" s="1"/>
  <c r="M46" s="1"/>
  <c r="N46" s="1"/>
  <c r="O46" s="1"/>
  <c r="E6" i="59"/>
  <c r="E5" s="1"/>
  <c r="B6"/>
  <c r="B5" s="1"/>
  <c r="X5"/>
  <c r="Y5"/>
  <c r="Z5" s="1"/>
  <c r="C19" i="46" s="1"/>
  <c r="B4" i="52"/>
  <c r="B8"/>
  <c r="E22"/>
  <c r="E7"/>
  <c r="E13"/>
  <c r="E10"/>
  <c r="E8"/>
  <c r="B10"/>
  <c r="E4"/>
  <c r="E21"/>
  <c r="B9"/>
  <c r="E11"/>
  <c r="B11"/>
  <c r="B7"/>
  <c r="B6"/>
  <c r="B13"/>
  <c r="B14"/>
  <c r="E9"/>
  <c r="B22"/>
  <c r="E6"/>
  <c r="Y3" i="59"/>
  <c r="Z3" s="1"/>
  <c r="AB6"/>
  <c r="AA6"/>
  <c r="D6"/>
  <c r="M20" i="46" s="1"/>
  <c r="Y6" i="59"/>
  <c r="Z6" s="1"/>
  <c r="P22" i="46"/>
  <c r="P24"/>
  <c r="B68" i="40" s="1"/>
  <c r="P23" i="46"/>
  <c r="P25"/>
  <c r="B73" i="39" s="1"/>
  <c r="P21" i="46"/>
  <c r="E20"/>
  <c r="J1" i="65"/>
  <c r="C4"/>
  <c r="B39" i="1" s="1"/>
  <c r="M29" i="71"/>
  <c r="L47" i="15"/>
  <c r="M26"/>
  <c r="M27"/>
  <c r="J15"/>
  <c r="M22"/>
  <c r="F16"/>
  <c r="L48"/>
  <c r="F8" i="44"/>
  <c r="F15"/>
  <c r="M11"/>
  <c r="M29"/>
  <c r="M28"/>
  <c r="C19"/>
  <c r="M31"/>
  <c r="F37" i="15"/>
  <c r="F8"/>
  <c r="F43"/>
  <c r="F7"/>
  <c r="M23" i="44"/>
  <c r="M8"/>
  <c r="F45"/>
  <c r="L49"/>
  <c r="M17" i="71"/>
  <c r="J36" i="15"/>
  <c r="F38"/>
  <c r="F40"/>
  <c r="M29"/>
  <c r="M9"/>
  <c r="F13"/>
  <c r="M23"/>
  <c r="J17" i="44"/>
  <c r="M30"/>
  <c r="M25"/>
  <c r="F9"/>
  <c r="M24"/>
  <c r="F38"/>
  <c r="M10"/>
  <c r="F43" i="71"/>
  <c r="F36" i="15"/>
  <c r="M6"/>
  <c r="F37" i="44"/>
  <c r="F18"/>
  <c r="F46"/>
  <c r="F10"/>
  <c r="F33" s="1"/>
  <c r="E3" i="65"/>
  <c r="F58" i="71"/>
  <c r="F9" i="15"/>
  <c r="M8"/>
  <c r="M28"/>
  <c r="F6"/>
  <c r="F31" s="1"/>
  <c r="F26"/>
  <c r="F42"/>
  <c r="M24"/>
  <c r="F43" i="44"/>
  <c r="F39"/>
  <c r="M26"/>
  <c r="L48"/>
  <c r="F28"/>
  <c r="F40"/>
  <c r="F11"/>
  <c r="E2" i="65"/>
  <c r="F70" i="71" l="1"/>
  <c r="M10" i="1"/>
  <c r="Q58" i="71"/>
  <c r="Q67"/>
  <c r="J6"/>
  <c r="J18" s="1"/>
  <c r="C33"/>
  <c r="C32"/>
  <c r="Q61"/>
  <c r="Q74"/>
  <c r="F1"/>
  <c r="Q53"/>
  <c r="Q62"/>
  <c r="Q75"/>
  <c r="C48"/>
  <c r="G17" i="46"/>
  <c r="C16" s="1"/>
  <c r="D5" s="1"/>
  <c r="F11" i="71"/>
  <c r="M11"/>
  <c r="J10" s="1"/>
  <c r="I116" i="46"/>
  <c r="J116" s="1"/>
  <c r="K116" s="1"/>
  <c r="L116" s="1"/>
  <c r="M116" s="1"/>
  <c r="D117"/>
  <c r="E117" s="1"/>
  <c r="F117" s="1"/>
  <c r="G117" s="1"/>
  <c r="H117" s="1"/>
  <c r="B115"/>
  <c r="C115" s="1"/>
  <c r="I117"/>
  <c r="J117" s="1"/>
  <c r="K117" s="1"/>
  <c r="L117" s="1"/>
  <c r="M117" s="1"/>
  <c r="B116"/>
  <c r="C116" s="1"/>
  <c r="B117"/>
  <c r="C117" s="1"/>
  <c r="I118"/>
  <c r="J118" s="1"/>
  <c r="K118" s="1"/>
  <c r="L118" s="1"/>
  <c r="M118" s="1"/>
  <c r="G118"/>
  <c r="H118" s="1"/>
  <c r="I115"/>
  <c r="J115" s="1"/>
  <c r="K115" s="1"/>
  <c r="L115" s="1"/>
  <c r="M115" s="1"/>
  <c r="D116"/>
  <c r="E116" s="1"/>
  <c r="F116" s="1"/>
  <c r="G116" s="1"/>
  <c r="H116" s="1"/>
  <c r="D115"/>
  <c r="E115" s="1"/>
  <c r="F115" s="1"/>
  <c r="G115" s="1"/>
  <c r="H115" s="1"/>
  <c r="B118"/>
  <c r="C118" s="1"/>
  <c r="G109"/>
  <c r="D109"/>
  <c r="D103"/>
  <c r="D106"/>
  <c r="H16" i="1"/>
  <c r="AP16"/>
  <c r="F22" i="11" s="1"/>
  <c r="D107" i="46"/>
  <c r="Q16" i="1"/>
  <c r="F24" i="43" s="1"/>
  <c r="C26" s="1"/>
  <c r="D24" s="1"/>
  <c r="D105" i="46"/>
  <c r="D102"/>
  <c r="D12" i="11"/>
  <c r="C12" s="1"/>
  <c r="C5" i="46"/>
  <c r="G14" i="66"/>
  <c r="B6" s="1"/>
  <c r="O39" i="9"/>
  <c r="R6" i="54" s="1"/>
  <c r="B50" i="63" s="1"/>
  <c r="N69" i="9"/>
  <c r="F7" i="36"/>
  <c r="AA7" s="1"/>
  <c r="R36" s="1"/>
  <c r="H7" i="35"/>
  <c r="J7" i="33"/>
  <c r="F7" i="34"/>
  <c r="C7" i="46"/>
  <c r="R8" i="54"/>
  <c r="B54" i="63" s="1"/>
  <c r="K34" i="9"/>
  <c r="H7" i="34"/>
  <c r="F7" i="35"/>
  <c r="AA7" s="1"/>
  <c r="R38" s="1"/>
  <c r="F27" i="6"/>
  <c r="E27" s="1"/>
  <c r="K19" s="1"/>
  <c r="S6" i="1" s="1"/>
  <c r="J7" i="35"/>
  <c r="J7" i="34"/>
  <c r="G16" i="1"/>
  <c r="F12" i="39" s="1"/>
  <c r="AA12" s="1"/>
  <c r="G30" i="6"/>
  <c r="G31" s="1"/>
  <c r="H106" i="46"/>
  <c r="H107"/>
  <c r="C109"/>
  <c r="C106"/>
  <c r="L57" i="44"/>
  <c r="J54"/>
  <c r="F1" s="1"/>
  <c r="J61"/>
  <c r="Q50" s="1"/>
  <c r="I55"/>
  <c r="J60"/>
  <c r="J58"/>
  <c r="J56" s="1"/>
  <c r="J59" s="1"/>
  <c r="Q52" s="1"/>
  <c r="C29"/>
  <c r="M9"/>
  <c r="L59"/>
  <c r="Q62" s="1"/>
  <c r="L60"/>
  <c r="Q63" s="1"/>
  <c r="J22"/>
  <c r="C8"/>
  <c r="C34" s="1"/>
  <c r="Q73"/>
  <c r="C36"/>
  <c r="J57" i="15"/>
  <c r="J55" s="1"/>
  <c r="J58" s="1"/>
  <c r="Q51" s="1"/>
  <c r="J53"/>
  <c r="Q53" s="1"/>
  <c r="L56"/>
  <c r="I54"/>
  <c r="M7"/>
  <c r="F49"/>
  <c r="C27"/>
  <c r="F70"/>
  <c r="C6"/>
  <c r="C32" s="1"/>
  <c r="F63"/>
  <c r="F67"/>
  <c r="F50"/>
  <c r="F65"/>
  <c r="F64"/>
  <c r="L58"/>
  <c r="Q74" s="1"/>
  <c r="L59"/>
  <c r="Q62" s="1"/>
  <c r="Q72"/>
  <c r="M106" i="46"/>
  <c r="C107"/>
  <c r="H105"/>
  <c r="C104"/>
  <c r="E109"/>
  <c r="C105"/>
  <c r="C102"/>
  <c r="H102"/>
  <c r="J106"/>
  <c r="I103"/>
  <c r="M105"/>
  <c r="E106"/>
  <c r="E104"/>
  <c r="H104"/>
  <c r="L102"/>
  <c r="E105"/>
  <c r="M109"/>
  <c r="N105"/>
  <c r="E107"/>
  <c r="M104"/>
  <c r="G107"/>
  <c r="E102"/>
  <c r="H103"/>
  <c r="F31" i="6"/>
  <c r="M107" i="46"/>
  <c r="M102"/>
  <c r="J103"/>
  <c r="I107"/>
  <c r="N107"/>
  <c r="N104"/>
  <c r="E58" i="39"/>
  <c r="I102" i="46"/>
  <c r="I109"/>
  <c r="N109"/>
  <c r="I105"/>
  <c r="I106"/>
  <c r="J104"/>
  <c r="J105"/>
  <c r="J102"/>
  <c r="K106"/>
  <c r="K103"/>
  <c r="K109"/>
  <c r="K107"/>
  <c r="K105"/>
  <c r="K104"/>
  <c r="E561" i="3"/>
  <c r="E23"/>
  <c r="E156"/>
  <c r="E381"/>
  <c r="E49"/>
  <c r="E427"/>
  <c r="E193"/>
  <c r="E278"/>
  <c r="E104"/>
  <c r="E94"/>
  <c r="E36"/>
  <c r="E131"/>
  <c r="E237"/>
  <c r="E304"/>
  <c r="E428"/>
  <c r="E165"/>
  <c r="E100"/>
  <c r="E404"/>
  <c r="E374"/>
  <c r="E30"/>
  <c r="E223"/>
  <c r="E441"/>
  <c r="E205"/>
  <c r="E367"/>
  <c r="E399"/>
  <c r="E415"/>
  <c r="E478"/>
  <c r="E80"/>
  <c r="E317"/>
  <c r="E28"/>
  <c r="E357"/>
  <c r="E141"/>
  <c r="E179"/>
  <c r="E168"/>
  <c r="AS6"/>
  <c r="E34"/>
  <c r="E444"/>
  <c r="E407"/>
  <c r="E383"/>
  <c r="E550"/>
  <c r="E247"/>
  <c r="E136"/>
  <c r="E568"/>
  <c r="E85"/>
  <c r="E539"/>
  <c r="E332"/>
  <c r="E245"/>
  <c r="E139"/>
  <c r="E52"/>
  <c r="E445"/>
  <c r="E451"/>
  <c r="E556"/>
  <c r="U6"/>
  <c r="E291"/>
  <c r="E305"/>
  <c r="E527"/>
  <c r="E73"/>
  <c r="E365"/>
  <c r="E126"/>
  <c r="E248"/>
  <c r="E211"/>
  <c r="E336"/>
  <c r="Y6"/>
  <c r="AR6"/>
  <c r="E466"/>
  <c r="E65"/>
  <c r="E51"/>
  <c r="E513"/>
  <c r="E198"/>
  <c r="E345"/>
  <c r="E281"/>
  <c r="E72"/>
  <c r="E290"/>
  <c r="E440"/>
  <c r="AF6"/>
  <c r="E331"/>
  <c r="E40"/>
  <c r="E362"/>
  <c r="E559"/>
  <c r="E150"/>
  <c r="E228"/>
  <c r="E314"/>
  <c r="E324"/>
  <c r="E502"/>
  <c r="E334"/>
  <c r="E489"/>
  <c r="E325"/>
  <c r="E286"/>
  <c r="E396"/>
  <c r="E183"/>
  <c r="E216"/>
  <c r="E320"/>
  <c r="E392"/>
  <c r="E45"/>
  <c r="E373"/>
  <c r="E284"/>
  <c r="E360"/>
  <c r="E42"/>
  <c r="T6"/>
  <c r="E181"/>
  <c r="E144"/>
  <c r="E269"/>
  <c r="E219"/>
  <c r="E338"/>
  <c r="E506"/>
  <c r="E562"/>
  <c r="E571"/>
  <c r="E518"/>
  <c r="E497"/>
  <c r="E167"/>
  <c r="E566"/>
  <c r="E515"/>
  <c r="E553"/>
  <c r="E494"/>
  <c r="E273"/>
  <c r="E542"/>
  <c r="E563"/>
  <c r="E254"/>
  <c r="E112"/>
  <c r="E341"/>
  <c r="E268"/>
  <c r="E316"/>
  <c r="E175"/>
  <c r="E318"/>
  <c r="E565"/>
  <c r="E380"/>
  <c r="E503"/>
  <c r="E476"/>
  <c r="E192"/>
  <c r="E114"/>
  <c r="E348"/>
  <c r="E93"/>
  <c r="E394"/>
  <c r="E55"/>
  <c r="E282"/>
  <c r="E570"/>
  <c r="E375"/>
  <c r="E409"/>
  <c r="E83"/>
  <c r="E124"/>
  <c r="E222"/>
  <c r="E388"/>
  <c r="E548"/>
  <c r="Z6"/>
  <c r="E454"/>
  <c r="E520"/>
  <c r="AK6"/>
  <c r="E297"/>
  <c r="E395"/>
  <c r="E41"/>
  <c r="E471"/>
  <c r="E418"/>
  <c r="E408"/>
  <c r="E92"/>
  <c r="E238"/>
  <c r="E414"/>
  <c r="E44"/>
  <c r="E202"/>
  <c r="E472"/>
  <c r="E187"/>
  <c r="E253"/>
  <c r="E225"/>
  <c r="E537"/>
  <c r="E199"/>
  <c r="E54"/>
  <c r="E423"/>
  <c r="E452"/>
  <c r="E435"/>
  <c r="E213"/>
  <c r="E490"/>
  <c r="E536"/>
  <c r="E218"/>
  <c r="E397"/>
  <c r="E442"/>
  <c r="E462"/>
  <c r="E110"/>
  <c r="E47"/>
  <c r="E63"/>
  <c r="E545"/>
  <c r="E174"/>
  <c r="E184"/>
  <c r="E129"/>
  <c r="E482"/>
  <c r="E98"/>
  <c r="E473"/>
  <c r="E422"/>
  <c r="N6"/>
  <c r="E398"/>
  <c r="E232"/>
  <c r="E533"/>
  <c r="E189"/>
  <c r="E37"/>
  <c r="E507"/>
  <c r="E303"/>
  <c r="E275"/>
  <c r="L6"/>
  <c r="E467"/>
  <c r="E429"/>
  <c r="E67"/>
  <c r="E116"/>
  <c r="E214"/>
  <c r="E372"/>
  <c r="E486"/>
  <c r="E465"/>
  <c r="E543"/>
  <c r="E154"/>
  <c r="E264"/>
  <c r="E243"/>
  <c r="E369"/>
  <c r="E309"/>
  <c r="V6"/>
  <c r="E448"/>
  <c r="E105"/>
  <c r="E74"/>
  <c r="AG6"/>
  <c r="E121"/>
  <c r="E505"/>
  <c r="E224"/>
  <c r="E419"/>
  <c r="E123"/>
  <c r="E302"/>
  <c r="E66"/>
  <c r="E386"/>
  <c r="E76"/>
  <c r="E287"/>
  <c r="E24"/>
  <c r="E188"/>
  <c r="E271"/>
  <c r="E306"/>
  <c r="E508"/>
  <c r="E180"/>
  <c r="E493"/>
  <c r="E551"/>
  <c r="E108"/>
  <c r="E246"/>
  <c r="E81"/>
  <c r="E16"/>
  <c r="E277"/>
  <c r="E385"/>
  <c r="E524"/>
  <c r="E95"/>
  <c r="E19"/>
  <c r="E498"/>
  <c r="E212"/>
  <c r="E298"/>
  <c r="E35"/>
  <c r="E361"/>
  <c r="E182"/>
  <c r="E315"/>
  <c r="E267"/>
  <c r="E323"/>
  <c r="E312"/>
  <c r="E159"/>
  <c r="E514"/>
  <c r="E501"/>
  <c r="E512"/>
  <c r="E384"/>
  <c r="E371"/>
  <c r="E310"/>
  <c r="E567"/>
  <c r="E487"/>
  <c r="E329"/>
  <c r="AB6"/>
  <c r="E26"/>
  <c r="S6"/>
  <c r="E322"/>
  <c r="E511"/>
  <c r="E17"/>
  <c r="E377"/>
  <c r="E18"/>
  <c r="E358"/>
  <c r="E509"/>
  <c r="E20"/>
  <c r="E564"/>
  <c r="AO6"/>
  <c r="E475"/>
  <c r="E421"/>
  <c r="E206"/>
  <c r="E132"/>
  <c r="E333"/>
  <c r="E91"/>
  <c r="E115"/>
  <c r="E359"/>
  <c r="E195"/>
  <c r="E391"/>
  <c r="E321"/>
  <c r="E127"/>
  <c r="E266"/>
  <c r="E215"/>
  <c r="E82"/>
  <c r="E164"/>
  <c r="E99"/>
  <c r="E262"/>
  <c r="E101"/>
  <c r="E411"/>
  <c r="E250"/>
  <c r="AN6"/>
  <c r="E280"/>
  <c r="E59"/>
  <c r="E270"/>
  <c r="E464"/>
  <c r="E157"/>
  <c r="E209"/>
  <c r="E161"/>
  <c r="E450"/>
  <c r="E534"/>
  <c r="E376"/>
  <c r="E387"/>
  <c r="E294"/>
  <c r="R6"/>
  <c r="E21"/>
  <c r="E125"/>
  <c r="E64"/>
  <c r="AH6"/>
  <c r="E140"/>
  <c r="P6"/>
  <c r="E343"/>
  <c r="E84"/>
  <c r="E142"/>
  <c r="AP6"/>
  <c r="E410"/>
  <c r="E431"/>
  <c r="E468"/>
  <c r="E70"/>
  <c r="E109"/>
  <c r="E38"/>
  <c r="E185"/>
  <c r="E151"/>
  <c r="E148"/>
  <c r="E313"/>
  <c r="E27"/>
  <c r="E53"/>
  <c r="E412"/>
  <c r="E405"/>
  <c r="E469"/>
  <c r="W6"/>
  <c r="E293"/>
  <c r="E190"/>
  <c r="E560"/>
  <c r="E420"/>
  <c r="E111"/>
  <c r="E233"/>
  <c r="E261"/>
  <c r="E203"/>
  <c r="E39"/>
  <c r="E402"/>
  <c r="E107"/>
  <c r="E172"/>
  <c r="E255"/>
  <c r="E393"/>
  <c r="E417"/>
  <c r="E88"/>
  <c r="E145"/>
  <c r="E480"/>
  <c r="E279"/>
  <c r="E220"/>
  <c r="E347"/>
  <c r="E517"/>
  <c r="E400"/>
  <c r="E453"/>
  <c r="E58"/>
  <c r="AQ6"/>
  <c r="E197"/>
  <c r="E162"/>
  <c r="E285"/>
  <c r="E235"/>
  <c r="E61"/>
  <c r="E229"/>
  <c r="E433"/>
  <c r="E529"/>
  <c r="E191"/>
  <c r="E300"/>
  <c r="E379"/>
  <c r="E530"/>
  <c r="E558"/>
  <c r="E173"/>
  <c r="E177"/>
  <c r="E432"/>
  <c r="E153"/>
  <c r="E106"/>
  <c r="E169"/>
  <c r="E378"/>
  <c r="E364"/>
  <c r="E283"/>
  <c r="E535"/>
  <c r="E443"/>
  <c r="E265"/>
  <c r="E194"/>
  <c r="AM6"/>
  <c r="E78"/>
  <c r="E337"/>
  <c r="E390"/>
  <c r="E158"/>
  <c r="E296"/>
  <c r="E492"/>
  <c r="E149"/>
  <c r="E295"/>
  <c r="E249"/>
  <c r="E89"/>
  <c r="E549"/>
  <c r="E201"/>
  <c r="E460"/>
  <c r="E170"/>
  <c r="I3" i="6"/>
  <c r="E274" i="3"/>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122"/>
  <c r="E495"/>
  <c r="E208"/>
  <c r="E344"/>
  <c r="E485"/>
  <c r="E335"/>
  <c r="E483"/>
  <c r="E366"/>
  <c r="E532"/>
  <c r="E330"/>
  <c r="E340"/>
  <c r="E350"/>
  <c r="E521"/>
  <c r="E496"/>
  <c r="E130"/>
  <c r="E352"/>
  <c r="E461"/>
  <c r="E138"/>
  <c r="E328"/>
  <c r="E519"/>
  <c r="E155"/>
  <c r="E252"/>
  <c r="E346"/>
  <c r="E544"/>
  <c r="E541"/>
  <c r="E523"/>
  <c r="E557"/>
  <c r="E86"/>
  <c r="E68"/>
  <c r="E135"/>
  <c r="E147"/>
  <c r="E22"/>
  <c r="E439"/>
  <c r="E459"/>
  <c r="E117"/>
  <c r="E231"/>
  <c r="E528"/>
  <c r="E470"/>
  <c r="E349"/>
  <c r="E186"/>
  <c r="E311"/>
  <c r="E263"/>
  <c r="E424"/>
  <c r="E103"/>
  <c r="E200"/>
  <c r="E62"/>
  <c r="E389"/>
  <c r="E230"/>
  <c r="E143"/>
  <c r="E288"/>
  <c r="E120"/>
  <c r="E555"/>
  <c r="E355"/>
  <c r="E499"/>
  <c r="E538"/>
  <c r="E403"/>
  <c r="E217"/>
  <c r="E436"/>
  <c r="E260"/>
  <c r="E307"/>
  <c r="E90"/>
  <c r="E210"/>
  <c r="E339"/>
  <c r="E14"/>
  <c r="E118"/>
  <c r="E226"/>
  <c r="E163"/>
  <c r="E351"/>
  <c r="E342"/>
  <c r="E368"/>
  <c r="E504"/>
  <c r="E244"/>
  <c r="E301"/>
  <c r="E356"/>
  <c r="E413"/>
  <c r="E446"/>
  <c r="E221"/>
  <c r="AA6"/>
  <c r="E430"/>
  <c r="E552"/>
  <c r="E227"/>
  <c r="E71"/>
  <c r="E382"/>
  <c r="E481"/>
  <c r="E152"/>
  <c r="E457"/>
  <c r="E146"/>
  <c r="E522"/>
  <c r="E516"/>
  <c r="E488"/>
  <c r="E240"/>
  <c r="E326"/>
  <c r="E69"/>
  <c r="E46"/>
  <c r="X6"/>
  <c r="E327"/>
  <c r="E434"/>
  <c r="AL6"/>
  <c r="E510"/>
  <c r="E406"/>
  <c r="E137"/>
  <c r="E484"/>
  <c r="E241"/>
  <c r="E437"/>
  <c r="E31"/>
  <c r="E299"/>
  <c r="E77"/>
  <c r="E572"/>
  <c r="M6"/>
  <c r="AD6"/>
  <c r="E57"/>
  <c r="F106" i="46"/>
  <c r="F105"/>
  <c r="N103"/>
  <c r="N102"/>
  <c r="F102"/>
  <c r="F104"/>
  <c r="E13" i="3"/>
  <c r="L105" i="46"/>
  <c r="L106"/>
  <c r="L104"/>
  <c r="L107"/>
  <c r="G102"/>
  <c r="G105"/>
  <c r="G104"/>
  <c r="G103"/>
  <c r="F103"/>
  <c r="J109"/>
  <c r="F107"/>
  <c r="L103"/>
  <c r="D22"/>
  <c r="I6" i="3"/>
  <c r="E61" i="40"/>
  <c r="E63" i="39"/>
  <c r="E58" i="40"/>
  <c r="E16" i="6"/>
  <c r="E64" i="39"/>
  <c r="E59" i="40"/>
  <c r="E30" i="6"/>
  <c r="K14" i="1"/>
  <c r="E3" i="6"/>
  <c r="AY6" i="3"/>
  <c r="P6" i="1"/>
  <c r="E67" i="39"/>
  <c r="E62" i="40"/>
  <c r="E65" i="39"/>
  <c r="E60" i="40"/>
  <c r="AC7" i="33"/>
  <c r="V48" s="1"/>
  <c r="I48" s="1"/>
  <c r="W7"/>
  <c r="S7" i="36"/>
  <c r="F52" i="37"/>
  <c r="U7" i="33"/>
  <c r="AB7"/>
  <c r="T48" s="1"/>
  <c r="G48" s="1"/>
  <c r="AB7" i="34"/>
  <c r="T49" s="1"/>
  <c r="G49" s="1"/>
  <c r="U7"/>
  <c r="S7" i="35"/>
  <c r="S7" i="21"/>
  <c r="AA7"/>
  <c r="R48" s="1"/>
  <c r="AA7" i="34"/>
  <c r="R49" s="1"/>
  <c r="S7"/>
  <c r="D72" i="39"/>
  <c r="E70"/>
  <c r="F65" i="40"/>
  <c r="E67"/>
  <c r="AC7" i="34"/>
  <c r="V49" s="1"/>
  <c r="I49" s="1"/>
  <c r="W7"/>
  <c r="H7" i="21"/>
  <c r="J7"/>
  <c r="J7" i="36"/>
  <c r="AC7" i="35"/>
  <c r="V38" s="1"/>
  <c r="I38" s="1"/>
  <c r="W7"/>
  <c r="AB7"/>
  <c r="T38" s="1"/>
  <c r="G38" s="1"/>
  <c r="U7"/>
  <c r="H7" i="36"/>
  <c r="F7" i="33"/>
  <c r="B40" i="1"/>
  <c r="F24" i="71" s="1"/>
  <c r="F17" i="11"/>
  <c r="C17" s="1"/>
  <c r="M13" i="44"/>
  <c r="J12" s="1"/>
  <c r="F11" i="15"/>
  <c r="M11"/>
  <c r="J10" s="1"/>
  <c r="F13" i="44"/>
  <c r="C12" s="1"/>
  <c r="M28" i="46"/>
  <c r="P28"/>
  <c r="O28"/>
  <c r="N28"/>
  <c r="AE10" i="1"/>
  <c r="M17" i="15"/>
  <c r="C16" i="71"/>
  <c r="C16" i="15"/>
  <c r="F58"/>
  <c r="C18" i="44"/>
  <c r="M19"/>
  <c r="S7" i="46" l="1"/>
  <c r="T7" s="1"/>
  <c r="V7" s="1"/>
  <c r="S2"/>
  <c r="S5"/>
  <c r="T5" s="1"/>
  <c r="V5" s="1"/>
  <c r="S4"/>
  <c r="S6"/>
  <c r="T6" s="1"/>
  <c r="V6" s="1"/>
  <c r="S3"/>
  <c r="T3" s="1"/>
  <c r="V3" s="1"/>
  <c r="J5" i="71"/>
  <c r="J24" s="1"/>
  <c r="O10" i="1"/>
  <c r="P10" s="1"/>
  <c r="C37" i="46"/>
  <c r="E37" s="1"/>
  <c r="C39"/>
  <c r="E39" s="1"/>
  <c r="C33"/>
  <c r="C35"/>
  <c r="C38"/>
  <c r="G38" s="1"/>
  <c r="I38" s="1"/>
  <c r="C36"/>
  <c r="G36" s="1"/>
  <c r="I36" s="1"/>
  <c r="C34"/>
  <c r="T11"/>
  <c r="V11" s="1"/>
  <c r="T9"/>
  <c r="V9" s="1"/>
  <c r="T10"/>
  <c r="V10" s="1"/>
  <c r="C24" i="71"/>
  <c r="C52"/>
  <c r="C47" s="1"/>
  <c r="C10"/>
  <c r="C5" s="1"/>
  <c r="T4" i="46"/>
  <c r="V4" s="1"/>
  <c r="T15"/>
  <c r="V15" s="1"/>
  <c r="T13"/>
  <c r="V13" s="1"/>
  <c r="T12"/>
  <c r="V12" s="1"/>
  <c r="D113"/>
  <c r="F33" i="12"/>
  <c r="C34" s="1"/>
  <c r="D33" s="1"/>
  <c r="F18" i="11"/>
  <c r="C18" s="1"/>
  <c r="C19" s="1"/>
  <c r="C20" s="1"/>
  <c r="C21" s="1"/>
  <c r="C22" s="1"/>
  <c r="C23" s="1"/>
  <c r="B2" s="1"/>
  <c r="H12" i="39"/>
  <c r="AB12" s="1"/>
  <c r="K24" i="6"/>
  <c r="K23"/>
  <c r="J12" i="39"/>
  <c r="AC12" s="1"/>
  <c r="M84" i="9"/>
  <c r="N84" s="1"/>
  <c r="M87"/>
  <c r="N87" s="1"/>
  <c r="M83"/>
  <c r="N83" s="1"/>
  <c r="N89" s="1"/>
  <c r="O89" s="1"/>
  <c r="M86"/>
  <c r="N86" s="1"/>
  <c r="M88"/>
  <c r="N88" s="1"/>
  <c r="M85"/>
  <c r="N85" s="1"/>
  <c r="J12" i="40"/>
  <c r="AC12" s="1"/>
  <c r="C29" i="46"/>
  <c r="E29" s="1"/>
  <c r="H12" i="40"/>
  <c r="U12" s="1"/>
  <c r="F12"/>
  <c r="S12" s="1"/>
  <c r="T14" i="46"/>
  <c r="V14" s="1"/>
  <c r="T16"/>
  <c r="V16" s="1"/>
  <c r="T8"/>
  <c r="V8" s="1"/>
  <c r="T2"/>
  <c r="V2" s="1"/>
  <c r="C48" i="15"/>
  <c r="C7" i="44"/>
  <c r="C40" s="1"/>
  <c r="F1" i="15"/>
  <c r="Q75" i="44"/>
  <c r="Q54"/>
  <c r="Q61" i="15"/>
  <c r="Q76" i="44"/>
  <c r="Q75" i="15"/>
  <c r="L47" i="44"/>
  <c r="E31" i="6"/>
  <c r="J8" i="44"/>
  <c r="J20" s="1"/>
  <c r="J6" i="15"/>
  <c r="J5" s="1"/>
  <c r="H6" i="3"/>
  <c r="AA12" i="40"/>
  <c r="K25" i="6"/>
  <c r="M25" s="1"/>
  <c r="I25" s="1"/>
  <c r="S25" s="1"/>
  <c r="K22"/>
  <c r="K21"/>
  <c r="K20"/>
  <c r="K26"/>
  <c r="M26" s="1"/>
  <c r="I26" s="1"/>
  <c r="S26" s="1"/>
  <c r="AC6" i="3"/>
  <c r="M14" i="1"/>
  <c r="K16"/>
  <c r="M19" i="6"/>
  <c r="D44" i="9"/>
  <c r="D46"/>
  <c r="C21" i="4"/>
  <c r="O5" i="54" s="1"/>
  <c r="B45" i="63" s="1"/>
  <c r="D45" i="9"/>
  <c r="D10" i="11"/>
  <c r="D16" i="43"/>
  <c r="C16" s="1"/>
  <c r="E6" i="6"/>
  <c r="D16" i="12"/>
  <c r="L38" i="9"/>
  <c r="B14" i="66" s="1"/>
  <c r="B1" s="1"/>
  <c r="AY530" i="3"/>
  <c r="AY97"/>
  <c r="AY198"/>
  <c r="AY77"/>
  <c r="AY73"/>
  <c r="AY57"/>
  <c r="AY262"/>
  <c r="AY349"/>
  <c r="AY397"/>
  <c r="AY149"/>
  <c r="AY379"/>
  <c r="AY463"/>
  <c r="AY135"/>
  <c r="AY372"/>
  <c r="AY62"/>
  <c r="AY376"/>
  <c r="AY155"/>
  <c r="AY450"/>
  <c r="AY307"/>
  <c r="AY412"/>
  <c r="AY201"/>
  <c r="AY330"/>
  <c r="AY449"/>
  <c r="AY191"/>
  <c r="AY275"/>
  <c r="AY414"/>
  <c r="AY304"/>
  <c r="AY227"/>
  <c r="AY120"/>
  <c r="AY266"/>
  <c r="AY282"/>
  <c r="AY430"/>
  <c r="AY193"/>
  <c r="AY24"/>
  <c r="AY207"/>
  <c r="BL6"/>
  <c r="AY515"/>
  <c r="AY259"/>
  <c r="AY472"/>
  <c r="AY46"/>
  <c r="AY365"/>
  <c r="AY131"/>
  <c r="AY371"/>
  <c r="AY29"/>
  <c r="AY453"/>
  <c r="AY380"/>
  <c r="AY319"/>
  <c r="AY151"/>
  <c r="AY245"/>
  <c r="AY388"/>
  <c r="AY485"/>
  <c r="AY107"/>
  <c r="AY415"/>
  <c r="AY399"/>
  <c r="AY546"/>
  <c r="AY208"/>
  <c r="AY174"/>
  <c r="AY163"/>
  <c r="AY447"/>
  <c r="AY328"/>
  <c r="AY355"/>
  <c r="AY483"/>
  <c r="AY71"/>
  <c r="AY285"/>
  <c r="AY60"/>
  <c r="AY195"/>
  <c r="AY538"/>
  <c r="AY322"/>
  <c r="AY363"/>
  <c r="AY418"/>
  <c r="BO6"/>
  <c r="AY547"/>
  <c r="AY130"/>
  <c r="AY468"/>
  <c r="AY110"/>
  <c r="AY487"/>
  <c r="AY469"/>
  <c r="AY454"/>
  <c r="AY539"/>
  <c r="AY231"/>
  <c r="AY48"/>
  <c r="BB6"/>
  <c r="AY347"/>
  <c r="AY237"/>
  <c r="AY338"/>
  <c r="AY533"/>
  <c r="AY306"/>
  <c r="AY243"/>
  <c r="AY462"/>
  <c r="AY541"/>
  <c r="AY466"/>
  <c r="AY536"/>
  <c r="AY477"/>
  <c r="AY441"/>
  <c r="AY523"/>
  <c r="AY87"/>
  <c r="AY109"/>
  <c r="AY142"/>
  <c r="AY537"/>
  <c r="AY144"/>
  <c r="AY136"/>
  <c r="AY232"/>
  <c r="AY448"/>
  <c r="AY49"/>
  <c r="AY381"/>
  <c r="AY326"/>
  <c r="AY178"/>
  <c r="AY550"/>
  <c r="AY269"/>
  <c r="AY389"/>
  <c r="AY302"/>
  <c r="AY122"/>
  <c r="AY457"/>
  <c r="BC6"/>
  <c r="AY543"/>
  <c r="AY91"/>
  <c r="AY13"/>
  <c r="AY274"/>
  <c r="AY556"/>
  <c r="AY114"/>
  <c r="AY38"/>
  <c r="AY424"/>
  <c r="AY369"/>
  <c r="AY14"/>
  <c r="AY544"/>
  <c r="AY320"/>
  <c r="BN6"/>
  <c r="AY494"/>
  <c r="AY154"/>
  <c r="AY290"/>
  <c r="AY409"/>
  <c r="AY233"/>
  <c r="AY569"/>
  <c r="AY520"/>
  <c r="AY283"/>
  <c r="AY184"/>
  <c r="AY396"/>
  <c r="AY531"/>
  <c r="AY239"/>
  <c r="AY244"/>
  <c r="AY152"/>
  <c r="AY503"/>
  <c r="AY417"/>
  <c r="AY299"/>
  <c r="AY492"/>
  <c r="AY185"/>
  <c r="BR6"/>
  <c r="AY108"/>
  <c r="AY440"/>
  <c r="AY40"/>
  <c r="AY495"/>
  <c r="AY189"/>
  <c r="AY289"/>
  <c r="AY210"/>
  <c r="AY331"/>
  <c r="AY403"/>
  <c r="AY263"/>
  <c r="AY391"/>
  <c r="AY564"/>
  <c r="AY61"/>
  <c r="AY296"/>
  <c r="AY59"/>
  <c r="AY79"/>
  <c r="AY473"/>
  <c r="AY373"/>
  <c r="AY94"/>
  <c r="AY474"/>
  <c r="AY517"/>
  <c r="AY452"/>
  <c r="AY80"/>
  <c r="AY58"/>
  <c r="AY179"/>
  <c r="AY100"/>
  <c r="AY126"/>
  <c r="AY118"/>
  <c r="AY209"/>
  <c r="AY416"/>
  <c r="AY55"/>
  <c r="AY250"/>
  <c r="AY560"/>
  <c r="AY141"/>
  <c r="AY310"/>
  <c r="AY459"/>
  <c r="AY226"/>
  <c r="AY400"/>
  <c r="AY340"/>
  <c r="AY272"/>
  <c r="AY405"/>
  <c r="AY442"/>
  <c r="AY572"/>
  <c r="AY99"/>
  <c r="AY103"/>
  <c r="AY150"/>
  <c r="AY432"/>
  <c r="AY280"/>
  <c r="AY172"/>
  <c r="BS6"/>
  <c r="AY394"/>
  <c r="AY156"/>
  <c r="AY437"/>
  <c r="AY314"/>
  <c r="AY27"/>
  <c r="AY273"/>
  <c r="AY510"/>
  <c r="AY160"/>
  <c r="AY158"/>
  <c r="AY368"/>
  <c r="AY96"/>
  <c r="AY219"/>
  <c r="AY471"/>
  <c r="AY206"/>
  <c r="BA6"/>
  <c r="AY367"/>
  <c r="AY225"/>
  <c r="AY211"/>
  <c r="BT6"/>
  <c r="AY360"/>
  <c r="AY32"/>
  <c r="AY456"/>
  <c r="AY565"/>
  <c r="AY458"/>
  <c r="AY247"/>
  <c r="AY553"/>
  <c r="AY242"/>
  <c r="AY78"/>
  <c r="AY90"/>
  <c r="AY385"/>
  <c r="AY375"/>
  <c r="AY344"/>
  <c r="AY220"/>
  <c r="AY506"/>
  <c r="AY190"/>
  <c r="AY404"/>
  <c r="AY475"/>
  <c r="AY401"/>
  <c r="AY534"/>
  <c r="AY395"/>
  <c r="AY545"/>
  <c r="AY434"/>
  <c r="AY490"/>
  <c r="AY455"/>
  <c r="AY334"/>
  <c r="AY377"/>
  <c r="AY298"/>
  <c r="AY571"/>
  <c r="AY177"/>
  <c r="AY499"/>
  <c r="AY532"/>
  <c r="AY300"/>
  <c r="AY215"/>
  <c r="AY251"/>
  <c r="AY345"/>
  <c r="AY173"/>
  <c r="AY284"/>
  <c r="AY89"/>
  <c r="AY33"/>
  <c r="AY426"/>
  <c r="AY51"/>
  <c r="AY167"/>
  <c r="AY496"/>
  <c r="BJ6"/>
  <c r="AY292"/>
  <c r="AY491"/>
  <c r="BI6"/>
  <c r="AY294"/>
  <c r="AY558"/>
  <c r="AY145"/>
  <c r="AY138"/>
  <c r="AY166"/>
  <c r="AY323"/>
  <c r="AY518"/>
  <c r="AY199"/>
  <c r="AY351"/>
  <c r="AY63"/>
  <c r="AY327"/>
  <c r="AY557"/>
  <c r="AY339"/>
  <c r="AY213"/>
  <c r="AY509"/>
  <c r="AY19"/>
  <c r="AY470"/>
  <c r="AY102"/>
  <c r="AY439"/>
  <c r="AY67"/>
  <c r="AY31"/>
  <c r="AY181"/>
  <c r="AY350"/>
  <c r="AY101"/>
  <c r="AY501"/>
  <c r="AY28"/>
  <c r="AY359"/>
  <c r="AY268"/>
  <c r="AY248"/>
  <c r="AY148"/>
  <c r="AY413"/>
  <c r="AY137"/>
  <c r="AY489"/>
  <c r="AY153"/>
  <c r="AY223"/>
  <c r="AY567"/>
  <c r="AY393"/>
  <c r="AY502"/>
  <c r="AY554"/>
  <c r="AY513"/>
  <c r="AY522"/>
  <c r="AY301"/>
  <c r="AY535"/>
  <c r="AY486"/>
  <c r="AY47"/>
  <c r="AY402"/>
  <c r="AY265"/>
  <c r="AY161"/>
  <c r="AY43"/>
  <c r="AY216"/>
  <c r="AY254"/>
  <c r="AY493"/>
  <c r="AY75"/>
  <c r="AY329"/>
  <c r="AY446"/>
  <c r="AY370"/>
  <c r="BP6"/>
  <c r="AY287"/>
  <c r="AY559"/>
  <c r="AY235"/>
  <c r="AY478"/>
  <c r="AY297"/>
  <c r="AY514"/>
  <c r="AY212"/>
  <c r="AY119"/>
  <c r="AY551"/>
  <c r="AY482"/>
  <c r="AY159"/>
  <c r="AY234"/>
  <c r="AY343"/>
  <c r="AY50"/>
  <c r="AY305"/>
  <c r="AY481"/>
  <c r="AY311"/>
  <c r="AY229"/>
  <c r="BD6"/>
  <c r="AY443"/>
  <c r="AY316"/>
  <c r="BQ6"/>
  <c r="AY500"/>
  <c r="AY358"/>
  <c r="AY497"/>
  <c r="AY281"/>
  <c r="AY433"/>
  <c r="AY270"/>
  <c r="AY524"/>
  <c r="AY23"/>
  <c r="AY419"/>
  <c r="AY511"/>
  <c r="AY105"/>
  <c r="AY317"/>
  <c r="AY65"/>
  <c r="AY346"/>
  <c r="AY429"/>
  <c r="AY204"/>
  <c r="AY257"/>
  <c r="AY378"/>
  <c r="AY64"/>
  <c r="AY171"/>
  <c r="AY249"/>
  <c r="AY221"/>
  <c r="AY112"/>
  <c r="AY480"/>
  <c r="AY15"/>
  <c r="AY240"/>
  <c r="AY267"/>
  <c r="AY93"/>
  <c r="AY164"/>
  <c r="AY507"/>
  <c r="AY353"/>
  <c r="AY332"/>
  <c r="AY180"/>
  <c r="AY20"/>
  <c r="AY41"/>
  <c r="AY504"/>
  <c r="AY175"/>
  <c r="AY467"/>
  <c r="AY139"/>
  <c r="AY70"/>
  <c r="BK6"/>
  <c r="AY435"/>
  <c r="AY132"/>
  <c r="AY188"/>
  <c r="AY528"/>
  <c r="AY36"/>
  <c r="AY117"/>
  <c r="AY337"/>
  <c r="AY76"/>
  <c r="AY86"/>
  <c r="AY42"/>
  <c r="AY392"/>
  <c r="AY288"/>
  <c r="AY162"/>
  <c r="AY303"/>
  <c r="AY552"/>
  <c r="AY519"/>
  <c r="BF6"/>
  <c r="AY484"/>
  <c r="AY68"/>
  <c r="AY276"/>
  <c r="AY387"/>
  <c r="AY313"/>
  <c r="AY205"/>
  <c r="AY423"/>
  <c r="AY488"/>
  <c r="AY460"/>
  <c r="AY261"/>
  <c r="AY570"/>
  <c r="BE6"/>
  <c r="AY69"/>
  <c r="AY529"/>
  <c r="AY98"/>
  <c r="AY383"/>
  <c r="AY170"/>
  <c r="AY476"/>
  <c r="AY366"/>
  <c r="AY256"/>
  <c r="AY342"/>
  <c r="AY438"/>
  <c r="AY352"/>
  <c r="AY21"/>
  <c r="AY411"/>
  <c r="AY200"/>
  <c r="AY85"/>
  <c r="AY34"/>
  <c r="AY140"/>
  <c r="AY505"/>
  <c r="AY436"/>
  <c r="AY125"/>
  <c r="AY228"/>
  <c r="AY312"/>
  <c r="BG6"/>
  <c r="AY121"/>
  <c r="AY104"/>
  <c r="AY106"/>
  <c r="AY146"/>
  <c r="AY39"/>
  <c r="AY464"/>
  <c r="AY278"/>
  <c r="AY92"/>
  <c r="AY187"/>
  <c r="AY37"/>
  <c r="AY95"/>
  <c r="AY45"/>
  <c r="AY384"/>
  <c r="AY202"/>
  <c r="AY398"/>
  <c r="AY348"/>
  <c r="AY241"/>
  <c r="AY542"/>
  <c r="AY555"/>
  <c r="AY308"/>
  <c r="AY52"/>
  <c r="AY408"/>
  <c r="AY183"/>
  <c r="AY197"/>
  <c r="BH6"/>
  <c r="AY526"/>
  <c r="AY309"/>
  <c r="AY44"/>
  <c r="AY561"/>
  <c r="AY406"/>
  <c r="AY407"/>
  <c r="AY461"/>
  <c r="AY186"/>
  <c r="AY540"/>
  <c r="AY563"/>
  <c r="AY84"/>
  <c r="AY192"/>
  <c r="AY512"/>
  <c r="AY362"/>
  <c r="AY260"/>
  <c r="AY566"/>
  <c r="AY54"/>
  <c r="AY134"/>
  <c r="AY165"/>
  <c r="AY354"/>
  <c r="AY549"/>
  <c r="AY129"/>
  <c r="AY74"/>
  <c r="AY291"/>
  <c r="AY422"/>
  <c r="AY324"/>
  <c r="AY258"/>
  <c r="AY168"/>
  <c r="AY295"/>
  <c r="AY16"/>
  <c r="AY253"/>
  <c r="AY525"/>
  <c r="AY386"/>
  <c r="AY445"/>
  <c r="AY224"/>
  <c r="D3" i="6"/>
  <c r="C40" i="39" s="1"/>
  <c r="AY203" i="3"/>
  <c r="AY83"/>
  <c r="AY277"/>
  <c r="AY425"/>
  <c r="AY286"/>
  <c r="AY169"/>
  <c r="AY72"/>
  <c r="AY30"/>
  <c r="AY382"/>
  <c r="AY143"/>
  <c r="AY236"/>
  <c r="AY246"/>
  <c r="AY374"/>
  <c r="AY25"/>
  <c r="AY321"/>
  <c r="AY431"/>
  <c r="AY176"/>
  <c r="AY318"/>
  <c r="AY22"/>
  <c r="AY127"/>
  <c r="AY66"/>
  <c r="AY222"/>
  <c r="AY357"/>
  <c r="AY410"/>
  <c r="AY252"/>
  <c r="AY568"/>
  <c r="AY255"/>
  <c r="AY88"/>
  <c r="AY361"/>
  <c r="AY315"/>
  <c r="AY194"/>
  <c r="AY35"/>
  <c r="AY335"/>
  <c r="AY82"/>
  <c r="AY128"/>
  <c r="AY182"/>
  <c r="AY264"/>
  <c r="AY479"/>
  <c r="AY364"/>
  <c r="AY238"/>
  <c r="AY115"/>
  <c r="AY230"/>
  <c r="AY420"/>
  <c r="AY157"/>
  <c r="AY516"/>
  <c r="AY333"/>
  <c r="AY123"/>
  <c r="AY341"/>
  <c r="AY465"/>
  <c r="AY428"/>
  <c r="AY218"/>
  <c r="AY356"/>
  <c r="AY147"/>
  <c r="AY562"/>
  <c r="AY498"/>
  <c r="AY527"/>
  <c r="AY325"/>
  <c r="AY390"/>
  <c r="AY17"/>
  <c r="AY133"/>
  <c r="AY113"/>
  <c r="AY56"/>
  <c r="AY421"/>
  <c r="BM6"/>
  <c r="AY18"/>
  <c r="AY451"/>
  <c r="AY444"/>
  <c r="AY196"/>
  <c r="AY521"/>
  <c r="AY508"/>
  <c r="AY26"/>
  <c r="AY53"/>
  <c r="AY217"/>
  <c r="AY427"/>
  <c r="AY214"/>
  <c r="AY116"/>
  <c r="AY548"/>
  <c r="AY81"/>
  <c r="AY279"/>
  <c r="AY336"/>
  <c r="AY124"/>
  <c r="AY293"/>
  <c r="AY271"/>
  <c r="AY111"/>
  <c r="S12" i="39"/>
  <c r="AC7" i="36"/>
  <c r="V36" s="1"/>
  <c r="I36" s="1"/>
  <c r="W7"/>
  <c r="E49" i="34"/>
  <c r="R50"/>
  <c r="I52" i="33"/>
  <c r="J52" s="1"/>
  <c r="AB7" i="36"/>
  <c r="T36" s="1"/>
  <c r="G36" s="1"/>
  <c r="U7"/>
  <c r="I42" i="35"/>
  <c r="J42" s="1"/>
  <c r="G53" i="34"/>
  <c r="H53" s="1"/>
  <c r="G54"/>
  <c r="H54" s="1"/>
  <c r="AB7" i="21"/>
  <c r="T48" s="1"/>
  <c r="G48" s="1"/>
  <c r="U7"/>
  <c r="F67" i="40"/>
  <c r="G65"/>
  <c r="I53" i="34"/>
  <c r="J53" s="1"/>
  <c r="I54"/>
  <c r="J54" s="1"/>
  <c r="G53" i="33"/>
  <c r="H53" s="1"/>
  <c r="G52"/>
  <c r="H52" s="1"/>
  <c r="AA7"/>
  <c r="R48" s="1"/>
  <c r="S7"/>
  <c r="G43" i="35"/>
  <c r="H43" s="1"/>
  <c r="G42"/>
  <c r="H42" s="1"/>
  <c r="AC7" i="21"/>
  <c r="V48" s="1"/>
  <c r="I48" s="1"/>
  <c r="W7"/>
  <c r="E72" i="39"/>
  <c r="F70"/>
  <c r="R49" i="21"/>
  <c r="E48"/>
  <c r="R39" i="35"/>
  <c r="E38"/>
  <c r="I43" s="1"/>
  <c r="J43" s="1"/>
  <c r="G52" i="37"/>
  <c r="R37" i="36"/>
  <c r="E36"/>
  <c r="G39" i="46"/>
  <c r="I39" s="1"/>
  <c r="E35"/>
  <c r="G35"/>
  <c r="I35" s="1"/>
  <c r="G33"/>
  <c r="I33" s="1"/>
  <c r="E33"/>
  <c r="E34"/>
  <c r="G34"/>
  <c r="I34" s="1"/>
  <c r="C52" i="15"/>
  <c r="C10"/>
  <c r="C5" s="1"/>
  <c r="F21" i="43"/>
  <c r="C23" s="1"/>
  <c r="D21" s="1"/>
  <c r="F24" i="15"/>
  <c r="C24" s="1"/>
  <c r="F26" i="12"/>
  <c r="F26" i="44"/>
  <c r="C26" s="1"/>
  <c r="F41" i="71"/>
  <c r="AE6" i="1"/>
  <c r="F41" i="15"/>
  <c r="J26" i="71" l="1"/>
  <c r="J29" s="1"/>
  <c r="M24" i="6"/>
  <c r="I24" s="1"/>
  <c r="S24" s="1"/>
  <c r="S11" i="1"/>
  <c r="M23" i="6"/>
  <c r="I23" s="1"/>
  <c r="S23" s="1"/>
  <c r="S10" i="1"/>
  <c r="E36" i="46"/>
  <c r="F68" i="71"/>
  <c r="C38"/>
  <c r="E38" i="46"/>
  <c r="G37"/>
  <c r="I37" s="1"/>
  <c r="C65" i="71"/>
  <c r="C60"/>
  <c r="C59"/>
  <c r="M22" i="6"/>
  <c r="I22" s="1"/>
  <c r="S22" s="1"/>
  <c r="S9" i="1"/>
  <c r="M21" i="6"/>
  <c r="I21" s="1"/>
  <c r="S21" s="1"/>
  <c r="S8" i="1"/>
  <c r="F68" i="15"/>
  <c r="U12" i="39"/>
  <c r="W12" i="40"/>
  <c r="W12" i="39"/>
  <c r="C30" i="46"/>
  <c r="E30" s="1"/>
  <c r="C27" s="1"/>
  <c r="C47" i="15"/>
  <c r="C65" s="1"/>
  <c r="AB12" i="40"/>
  <c r="J40" i="39"/>
  <c r="F40"/>
  <c r="H40"/>
  <c r="J18" i="15"/>
  <c r="K27" i="6"/>
  <c r="M20"/>
  <c r="I20" s="1"/>
  <c r="S20" s="1"/>
  <c r="S7" i="1"/>
  <c r="J7" i="44"/>
  <c r="E6" i="3"/>
  <c r="D22" i="12"/>
  <c r="C22" s="1"/>
  <c r="C20" s="1"/>
  <c r="D13" i="11"/>
  <c r="C13" s="1"/>
  <c r="D19" i="12"/>
  <c r="C19" s="1"/>
  <c r="C16"/>
  <c r="C22" i="4"/>
  <c r="F45" i="9"/>
  <c r="E63" i="40"/>
  <c r="D11" i="6"/>
  <c r="H25"/>
  <c r="D28"/>
  <c r="D23"/>
  <c r="D9"/>
  <c r="E45" i="9"/>
  <c r="D6" i="6"/>
  <c r="D14"/>
  <c r="F46" i="9"/>
  <c r="D19" i="6"/>
  <c r="K38" i="9"/>
  <c r="C14" i="66" s="1"/>
  <c r="B2" s="1"/>
  <c r="D5" i="6"/>
  <c r="D8"/>
  <c r="F44" i="9"/>
  <c r="H26" i="6"/>
  <c r="D20"/>
  <c r="E44" i="9"/>
  <c r="D21" i="6"/>
  <c r="D26"/>
  <c r="D12"/>
  <c r="D25"/>
  <c r="D22"/>
  <c r="D29"/>
  <c r="D24"/>
  <c r="D10"/>
  <c r="D13"/>
  <c r="D15"/>
  <c r="E46" i="9"/>
  <c r="E68" i="39"/>
  <c r="I19" i="6"/>
  <c r="C7" i="66"/>
  <c r="C8"/>
  <c r="C6"/>
  <c r="O14" i="1"/>
  <c r="O16" s="1"/>
  <c r="M16"/>
  <c r="E52" i="21"/>
  <c r="F52" s="1"/>
  <c r="E53"/>
  <c r="F53" s="1"/>
  <c r="G52"/>
  <c r="H52" s="1"/>
  <c r="G53"/>
  <c r="H53" s="1"/>
  <c r="I40" i="36"/>
  <c r="J40" s="1"/>
  <c r="I41"/>
  <c r="J41" s="1"/>
  <c r="C37"/>
  <c r="B3" s="1"/>
  <c r="B2" s="1"/>
  <c r="C36"/>
  <c r="C38" i="35"/>
  <c r="C39"/>
  <c r="B3" s="1"/>
  <c r="B2" s="1"/>
  <c r="E40" i="36"/>
  <c r="F40" s="1"/>
  <c r="E41"/>
  <c r="F41" s="1"/>
  <c r="E43" i="35"/>
  <c r="F43" s="1"/>
  <c r="E42"/>
  <c r="F42" s="1"/>
  <c r="F72" i="39"/>
  <c r="G70"/>
  <c r="G41" i="36"/>
  <c r="H41" s="1"/>
  <c r="G40"/>
  <c r="H40" s="1"/>
  <c r="E54" i="34"/>
  <c r="F54" s="1"/>
  <c r="E53"/>
  <c r="F53" s="1"/>
  <c r="H52" i="37"/>
  <c r="C49" i="21"/>
  <c r="B3" s="1"/>
  <c r="B2" s="1"/>
  <c r="C48"/>
  <c r="I52"/>
  <c r="J52" s="1"/>
  <c r="I53"/>
  <c r="J53" s="1"/>
  <c r="E48" i="33"/>
  <c r="R49"/>
  <c r="G67" i="40"/>
  <c r="H65"/>
  <c r="C50" i="34"/>
  <c r="B3" s="1"/>
  <c r="B2" s="1"/>
  <c r="C49"/>
  <c r="C26" i="46"/>
  <c r="B5" i="11"/>
  <c r="B3"/>
  <c r="B4"/>
  <c r="C27" i="12"/>
  <c r="D26" s="1"/>
  <c r="C32" s="1"/>
  <c r="D30" s="1"/>
  <c r="J26" i="15"/>
  <c r="J29" s="1"/>
  <c r="J24"/>
  <c r="C38"/>
  <c r="C17" i="71"/>
  <c r="F7" i="67"/>
  <c r="C17" i="15"/>
  <c r="E7" i="67"/>
  <c r="H24" i="6" l="1"/>
  <c r="R24" s="1"/>
  <c r="R11" i="1" s="1"/>
  <c r="H23" i="6"/>
  <c r="R23" s="1"/>
  <c r="R10" i="1" s="1"/>
  <c r="H22" i="6"/>
  <c r="H21"/>
  <c r="R21" s="1"/>
  <c r="R8" i="1" s="1"/>
  <c r="E4" i="67"/>
  <c r="C59" i="15"/>
  <c r="AC40" i="39"/>
  <c r="W40"/>
  <c r="R25" i="6"/>
  <c r="AA40" i="39"/>
  <c r="S40"/>
  <c r="AB40"/>
  <c r="U40"/>
  <c r="S16" i="1"/>
  <c r="T7" s="1"/>
  <c r="H20" i="6"/>
  <c r="R20" s="1"/>
  <c r="R7" i="1" s="1"/>
  <c r="M27" i="6"/>
  <c r="J28" i="44"/>
  <c r="J31" s="1"/>
  <c r="J26"/>
  <c r="R22" i="6"/>
  <c r="R9" i="1" s="1"/>
  <c r="R26" i="6"/>
  <c r="D30"/>
  <c r="D16"/>
  <c r="C13" i="43"/>
  <c r="L16" i="1"/>
  <c r="S19" i="6"/>
  <c r="S27" s="1"/>
  <c r="I27"/>
  <c r="D6" i="66"/>
  <c r="D8"/>
  <c r="D7"/>
  <c r="A20" i="64"/>
  <c r="A20" i="51"/>
  <c r="B15" i="63" s="1"/>
  <c r="A6" i="64"/>
  <c r="A6" i="51"/>
  <c r="B7" i="63" s="1"/>
  <c r="N5" i="54"/>
  <c r="B43" i="63" s="1"/>
  <c r="D27" i="6"/>
  <c r="D31" s="1"/>
  <c r="P14" i="1"/>
  <c r="P16" s="1"/>
  <c r="C13" i="12" s="1"/>
  <c r="N16" i="1"/>
  <c r="C29" i="43" s="1"/>
  <c r="H19" i="6"/>
  <c r="C49" i="33"/>
  <c r="B3" s="1"/>
  <c r="B2" s="1"/>
  <c r="C48"/>
  <c r="I52" i="37"/>
  <c r="J52" s="1"/>
  <c r="K52" s="1"/>
  <c r="L52" s="1"/>
  <c r="M52" s="1"/>
  <c r="N52" s="1"/>
  <c r="O52" s="1"/>
  <c r="J7"/>
  <c r="G72" i="39"/>
  <c r="H70"/>
  <c r="H7" i="37"/>
  <c r="F7"/>
  <c r="I65" i="40"/>
  <c r="H67"/>
  <c r="E53" i="33"/>
  <c r="F53" s="1"/>
  <c r="E52"/>
  <c r="F52" s="1"/>
  <c r="I53"/>
  <c r="J53" s="1"/>
  <c r="E3" i="67"/>
  <c r="B2" i="46"/>
  <c r="F35" i="71"/>
  <c r="M21"/>
  <c r="B7" i="67"/>
  <c r="C34" i="71" l="1"/>
  <c r="C31" s="1"/>
  <c r="F62"/>
  <c r="C61" s="1"/>
  <c r="C58" s="1"/>
  <c r="J20"/>
  <c r="H27" i="6"/>
  <c r="T9" i="1"/>
  <c r="T8"/>
  <c r="T12"/>
  <c r="T10"/>
  <c r="T13"/>
  <c r="T11"/>
  <c r="T6"/>
  <c r="Q49" i="44"/>
  <c r="Q55" s="1"/>
  <c r="Q67"/>
  <c r="Q58"/>
  <c r="R19" i="6"/>
  <c r="I6"/>
  <c r="I5"/>
  <c r="C17" i="12"/>
  <c r="C14"/>
  <c r="C14" i="43"/>
  <c r="C17"/>
  <c r="AA7" i="37"/>
  <c r="R42" s="1"/>
  <c r="S7"/>
  <c r="W7"/>
  <c r="AC7"/>
  <c r="V42" s="1"/>
  <c r="I42" s="1"/>
  <c r="I67" i="40"/>
  <c r="J65"/>
  <c r="H72" i="39"/>
  <c r="I70"/>
  <c r="U7" i="37"/>
  <c r="AB7"/>
  <c r="T42" s="1"/>
  <c r="G42" s="1"/>
  <c r="B2" i="67"/>
  <c r="D4" i="46"/>
  <c r="B3"/>
  <c r="B4"/>
  <c r="C14" i="71"/>
  <c r="C14" i="15"/>
  <c r="C16" i="44"/>
  <c r="C15" i="71" l="1"/>
  <c r="C18"/>
  <c r="C17" i="44"/>
  <c r="C20"/>
  <c r="C15" i="15"/>
  <c r="C18"/>
  <c r="T16" i="1"/>
  <c r="R27" i="6"/>
  <c r="R6" i="1"/>
  <c r="C18" i="12"/>
  <c r="C18" i="43"/>
  <c r="I72" i="39"/>
  <c r="J70"/>
  <c r="I46" i="37"/>
  <c r="J46" s="1"/>
  <c r="R43"/>
  <c r="E42"/>
  <c r="G46"/>
  <c r="H46" s="1"/>
  <c r="G47"/>
  <c r="H47" s="1"/>
  <c r="J67" i="40"/>
  <c r="K65"/>
  <c r="B3" i="67"/>
  <c r="B4"/>
  <c r="F35" i="15"/>
  <c r="M21"/>
  <c r="C19" i="71" l="1"/>
  <c r="C20" s="1"/>
  <c r="C26" s="1"/>
  <c r="F62" i="15"/>
  <c r="C61" s="1"/>
  <c r="C34"/>
  <c r="J20"/>
  <c r="R16" i="1"/>
  <c r="C19" i="15"/>
  <c r="C20" s="1"/>
  <c r="C26" s="1"/>
  <c r="C21" i="44"/>
  <c r="C22" s="1"/>
  <c r="C25" s="1"/>
  <c r="C19" i="43"/>
  <c r="C25" s="1"/>
  <c r="C24" s="1"/>
  <c r="C23" i="12"/>
  <c r="C43" i="37"/>
  <c r="B3" s="1"/>
  <c r="B2" s="1"/>
  <c r="C42"/>
  <c r="E47"/>
  <c r="F47" s="1"/>
  <c r="E46"/>
  <c r="F46" s="1"/>
  <c r="J72" i="39"/>
  <c r="K70"/>
  <c r="L65" i="40"/>
  <c r="K67"/>
  <c r="I47" i="37"/>
  <c r="J47" s="1"/>
  <c r="C23" i="71" l="1"/>
  <c r="C29" s="1"/>
  <c r="Q50" s="1"/>
  <c r="C23" i="15"/>
  <c r="C29" s="1"/>
  <c r="Q50" s="1"/>
  <c r="C28" i="44"/>
  <c r="C31" s="1"/>
  <c r="C22" i="43"/>
  <c r="C21" s="1"/>
  <c r="C28" s="1"/>
  <c r="C30" s="1"/>
  <c r="C32" s="1"/>
  <c r="B2" s="1"/>
  <c r="B4" s="1"/>
  <c r="M65" i="40"/>
  <c r="L67"/>
  <c r="K72" i="39"/>
  <c r="L70"/>
  <c r="C13" i="71" l="1"/>
  <c r="J35" s="1"/>
  <c r="C56"/>
  <c r="C63" s="1"/>
  <c r="J14"/>
  <c r="J22" s="1"/>
  <c r="C36"/>
  <c r="J19"/>
  <c r="J17" s="1"/>
  <c r="C13" i="15"/>
  <c r="Q71" s="1"/>
  <c r="J14"/>
  <c r="J22" s="1"/>
  <c r="J59"/>
  <c r="J60" s="1"/>
  <c r="C36"/>
  <c r="J19"/>
  <c r="J17" s="1"/>
  <c r="C56"/>
  <c r="C33"/>
  <c r="C31" s="1"/>
  <c r="C15" i="44"/>
  <c r="C35"/>
  <c r="C33" s="1"/>
  <c r="C38"/>
  <c r="Q51"/>
  <c r="J21"/>
  <c r="J19" s="1"/>
  <c r="J16"/>
  <c r="J15" s="1"/>
  <c r="J25" s="1"/>
  <c r="B5" i="43"/>
  <c r="B3"/>
  <c r="N65" i="40"/>
  <c r="N67" s="1"/>
  <c r="M67"/>
  <c r="M70" i="39"/>
  <c r="L72"/>
  <c r="J13" i="71" l="1"/>
  <c r="J23" s="1"/>
  <c r="J16" s="1"/>
  <c r="J25" s="1"/>
  <c r="C37"/>
  <c r="C30" s="1"/>
  <c r="C39" s="1"/>
  <c r="J39" s="1"/>
  <c r="J40" s="1"/>
  <c r="C55"/>
  <c r="C64" s="1"/>
  <c r="C57" s="1"/>
  <c r="C66" s="1"/>
  <c r="C67" s="1"/>
  <c r="C70" s="1"/>
  <c r="Q71"/>
  <c r="C37" i="15"/>
  <c r="C30" s="1"/>
  <c r="C39" s="1"/>
  <c r="Q70" s="1"/>
  <c r="Q69" s="1"/>
  <c r="C55"/>
  <c r="C64" s="1"/>
  <c r="J13"/>
  <c r="J23" s="1"/>
  <c r="J16" s="1"/>
  <c r="J25" s="1"/>
  <c r="J35"/>
  <c r="Q49"/>
  <c r="C63"/>
  <c r="C60"/>
  <c r="C58" s="1"/>
  <c r="C43" i="44"/>
  <c r="Q72"/>
  <c r="C39"/>
  <c r="C32" s="1"/>
  <c r="C42" s="1"/>
  <c r="J24"/>
  <c r="J18" s="1"/>
  <c r="J27" s="1"/>
  <c r="H9" i="40"/>
  <c r="J9"/>
  <c r="F9"/>
  <c r="M72" i="39"/>
  <c r="N70"/>
  <c r="N72" s="1"/>
  <c r="L51" i="71"/>
  <c r="C40" l="1"/>
  <c r="C46" s="1"/>
  <c r="Q70"/>
  <c r="Q69" s="1"/>
  <c r="Q68"/>
  <c r="C57" i="15"/>
  <c r="C66" s="1"/>
  <c r="C67" s="1"/>
  <c r="C70" s="1"/>
  <c r="L57"/>
  <c r="L60" s="1"/>
  <c r="C40"/>
  <c r="J39"/>
  <c r="J40" s="1"/>
  <c r="C44" i="44"/>
  <c r="C45" s="1"/>
  <c r="Q71"/>
  <c r="Q70" s="1"/>
  <c r="H9" i="39"/>
  <c r="F9"/>
  <c r="J9"/>
  <c r="AC9" i="40"/>
  <c r="V44" s="1"/>
  <c r="I44" s="1"/>
  <c r="I48" s="1"/>
  <c r="J48" s="1"/>
  <c r="W9"/>
  <c r="S9"/>
  <c r="AA9"/>
  <c r="R44" s="1"/>
  <c r="U9"/>
  <c r="AB9"/>
  <c r="T44" s="1"/>
  <c r="G44" s="1"/>
  <c r="L51" i="15"/>
  <c r="Q68" l="1"/>
  <c r="Q48" i="71"/>
  <c r="Q54" s="1"/>
  <c r="Q57"/>
  <c r="Q63" s="1"/>
  <c r="J42"/>
  <c r="J43" s="1"/>
  <c r="Q66"/>
  <c r="Q76" s="1"/>
  <c r="B2"/>
  <c r="B3" s="1"/>
  <c r="G8" i="12" s="1"/>
  <c r="G10" s="1"/>
  <c r="C43" i="71"/>
  <c r="Q67" i="15"/>
  <c r="L46"/>
  <c r="B2" s="1"/>
  <c r="B3" s="1"/>
  <c r="C8" i="12" s="1"/>
  <c r="C10" s="1"/>
  <c r="Q66" i="15"/>
  <c r="C43"/>
  <c r="Q57"/>
  <c r="Q48"/>
  <c r="Q54" s="1"/>
  <c r="J42"/>
  <c r="J43" s="1"/>
  <c r="Q58"/>
  <c r="C46"/>
  <c r="B2" i="44"/>
  <c r="L52"/>
  <c r="U9" i="39"/>
  <c r="AB9"/>
  <c r="T49" s="1"/>
  <c r="G49" s="1"/>
  <c r="E44" i="40"/>
  <c r="R45"/>
  <c r="G48"/>
  <c r="H48" s="1"/>
  <c r="G49"/>
  <c r="H49" s="1"/>
  <c r="S9" i="39"/>
  <c r="AA9"/>
  <c r="R49" s="1"/>
  <c r="W9"/>
  <c r="AC9"/>
  <c r="V49" s="1"/>
  <c r="I49" s="1"/>
  <c r="C6" i="12" l="1"/>
  <c r="C29" s="1"/>
  <c r="Q76" i="15"/>
  <c r="Q63"/>
  <c r="B3" i="44"/>
  <c r="B4"/>
  <c r="B5"/>
  <c r="L58"/>
  <c r="L61" s="1"/>
  <c r="Q69"/>
  <c r="I53" i="39"/>
  <c r="J53" s="1"/>
  <c r="G53"/>
  <c r="H53" s="1"/>
  <c r="G54"/>
  <c r="H54" s="1"/>
  <c r="I49" i="40"/>
  <c r="J49" s="1"/>
  <c r="E49"/>
  <c r="F49" s="1"/>
  <c r="E48"/>
  <c r="F48" s="1"/>
  <c r="R50" i="39"/>
  <c r="E49"/>
  <c r="I54" s="1"/>
  <c r="J54" s="1"/>
  <c r="C45" i="40"/>
  <c r="C44"/>
  <c r="C24" i="12" l="1"/>
  <c r="C35" s="1"/>
  <c r="C33" s="1"/>
  <c r="Q59" i="44"/>
  <c r="Q64" s="1"/>
  <c r="Q68"/>
  <c r="Q77" s="1"/>
  <c r="B61" i="40"/>
  <c r="F61" s="1"/>
  <c r="F63"/>
  <c r="B2" s="1"/>
  <c r="B56"/>
  <c r="F56" s="1"/>
  <c r="B53"/>
  <c r="F53" s="1"/>
  <c r="B54"/>
  <c r="F54" s="1"/>
  <c r="B57"/>
  <c r="F57" s="1"/>
  <c r="B62"/>
  <c r="F62" s="1"/>
  <c r="B58"/>
  <c r="F58" s="1"/>
  <c r="B55"/>
  <c r="F55" s="1"/>
  <c r="B59"/>
  <c r="F59" s="1"/>
  <c r="B60"/>
  <c r="F60" s="1"/>
  <c r="E53" i="39"/>
  <c r="F53" s="1"/>
  <c r="E54"/>
  <c r="F54" s="1"/>
  <c r="C49"/>
  <c r="C50"/>
  <c r="C28" i="12" l="1"/>
  <c r="C26" s="1"/>
  <c r="C31" s="1"/>
  <c r="C30" s="1"/>
  <c r="C36" s="1"/>
  <c r="B2" s="1"/>
  <c r="B4" i="40"/>
  <c r="B3"/>
  <c r="B5"/>
  <c r="B63" i="39"/>
  <c r="F63" s="1"/>
  <c r="B67"/>
  <c r="F67" s="1"/>
  <c r="B58"/>
  <c r="F58" s="1"/>
  <c r="B65"/>
  <c r="F65" s="1"/>
  <c r="B61"/>
  <c r="F61" s="1"/>
  <c r="B59"/>
  <c r="F59" s="1"/>
  <c r="B66"/>
  <c r="F66" s="1"/>
  <c r="B62"/>
  <c r="F62" s="1"/>
  <c r="B64"/>
  <c r="F64" s="1"/>
  <c r="B60"/>
  <c r="F60" s="1"/>
  <c r="C19" i="9"/>
  <c r="L43" l="1"/>
  <c r="B5" i="12"/>
  <c r="B4"/>
  <c r="B3"/>
  <c r="F68" i="39"/>
  <c r="B2" s="1"/>
  <c r="B5" s="1"/>
  <c r="D19" i="9"/>
  <c r="C21"/>
  <c r="C20"/>
  <c r="B4" i="39" l="1"/>
  <c r="G19" i="9"/>
  <c r="D22"/>
  <c r="L44"/>
  <c r="B3" i="39"/>
  <c r="D20" i="9"/>
  <c r="D21"/>
  <c r="G22" l="1"/>
  <c r="G21"/>
  <c r="N43"/>
  <c r="C32"/>
  <c r="O38" s="1"/>
  <c r="G20"/>
  <c r="C42" l="1"/>
  <c r="D14" i="66" s="1"/>
  <c r="C33" i="9"/>
  <c r="N38" s="1"/>
  <c r="K28" s="1"/>
  <c r="C35"/>
  <c r="F42" s="1"/>
  <c r="C34"/>
  <c r="M38" s="1"/>
  <c r="K27" s="1"/>
  <c r="O43"/>
  <c r="K26"/>
  <c r="K25"/>
  <c r="R5" i="54" l="1"/>
  <c r="B48" i="63" s="1"/>
  <c r="D63" i="9"/>
  <c r="C90" s="1"/>
  <c r="N68"/>
  <c r="D42"/>
  <c r="Q5" i="54" s="1"/>
  <c r="B47" i="63" s="1"/>
  <c r="E42" i="9"/>
  <c r="P5" i="54" s="1"/>
  <c r="B46" i="63" s="1"/>
  <c r="F14" i="66"/>
  <c r="E14"/>
  <c r="B5"/>
  <c r="D70" i="9" l="1"/>
  <c r="C111"/>
  <c r="C104" s="1"/>
  <c r="D77"/>
  <c r="N75" s="1"/>
  <c r="D71"/>
  <c r="D66" s="1"/>
  <c r="N72" s="1"/>
  <c r="C82"/>
  <c r="C81" s="1"/>
  <c r="C85" s="1"/>
  <c r="C86" s="1"/>
  <c r="D72" s="1"/>
  <c r="C96"/>
  <c r="C91" s="1"/>
  <c r="C97" s="1"/>
  <c r="C103"/>
  <c r="D5" i="66"/>
  <c r="C5"/>
  <c r="C113" i="9" l="1"/>
  <c r="C114" s="1"/>
  <c r="E114" s="1"/>
  <c r="E115" s="1"/>
  <c r="C98"/>
  <c r="E98" s="1"/>
  <c r="E99" s="1"/>
  <c r="C115" l="1"/>
  <c r="D76" s="1"/>
  <c r="D74" s="1"/>
  <c r="N74" s="1"/>
  <c r="O77" s="1"/>
  <c r="O79" s="1"/>
  <c r="C99"/>
  <c r="Q77" l="1"/>
  <c r="O78"/>
  <c r="O80"/>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<sst xmlns="http://schemas.openxmlformats.org/spreadsheetml/2006/main" count="7462" uniqueCount="3129">
  <si>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</si>
  <si>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</si>
  <si>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</si>
  <si>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</si>
  <si>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</si>
  <si>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</si>
  <si>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</si>
  <si>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</si>
  <si>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</si>
  <si>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</si>
  <si>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</si>
  <si>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</si>
  <si>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</si>
  <si>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</si>
  <si>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</si>
  <si>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</si>
  <si>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</si>
  <si>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</si>
  <si>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</si>
  <si>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</si>
  <si>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</si>
  <si>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</si>
  <si>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</si>
  <si>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</si>
  <si>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</si>
  <si>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</si>
  <si>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</si>
  <si>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</si>
  <si>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</si>
  <si>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</si>
  <si>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</si>
  <si>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</si>
  <si>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</si>
  <si>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</si>
  <si>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</si>
  <si>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</si>
  <si>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</si>
  <si>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</si>
  <si>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</si>
  <si>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</si>
  <si>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</si>
  <si>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</si>
  <si>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</si>
  <si>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</si>
  <si>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</si>
  <si>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</si>
  <si>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</si>
  <si>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</si>
  <si>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</si>
  <si>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</si>
  <si>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</si>
  <si>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</si>
  <si>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</si>
  <si>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</si>
  <si>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</si>
  <si>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</si>
  <si>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</si>
  <si>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</si>
  <si>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</si>
  <si>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</si>
  <si>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</si>
  <si>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</si>
  <si>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</si>
  <si>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</si>
  <si>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</si>
  <si>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</si>
  <si>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</si>
  <si>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</si>
  <si>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</si>
  <si>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</si>
  <si>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</si>
  <si>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</si>
  <si>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</si>
  <si>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</si>
  <si>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</si>
  <si>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</si>
  <si>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</si>
  <si>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</si>
  <si>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</si>
  <si>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</si>
  <si>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</si>
  <si>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</si>
  <si>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</si>
  <si>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</si>
  <si>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</si>
  <si>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</si>
  <si>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</si>
  <si>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</si>
  <si>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</si>
  <si>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</si>
  <si>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</si>
  <si>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</si>
  <si>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</si>
  <si>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</si>
  <si>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</si>
  <si>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</si>
  <si>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</si>
  <si>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</si>
  <si>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</si>
  <si>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</si>
  <si>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</si>
  <si>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</si>
  <si>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</si>
  <si>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</si>
  <si>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</si>
  <si>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</si>
  <si>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</si>
  <si>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</si>
  <si>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</si>
  <si>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</si>
  <si>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</si>
  <si>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</si>
  <si>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</si>
  <si>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</si>
  <si>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</si>
  <si>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</si>
  <si>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</si>
  <si>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</si>
  <si>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</si>
  <si>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</si>
  <si>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</si>
  <si>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</si>
  <si>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</si>
  <si>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</si>
  <si>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</si>
  <si>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</si>
  <si>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</si>
  <si>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</si>
  <si>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</si>
  <si>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</si>
  <si>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</si>
  <si>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</si>
  <si>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</si>
  <si>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</si>
  <si>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</si>
  <si>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</si>
  <si>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</si>
  <si>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</si>
  <si>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</si>
  <si>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</si>
  <si>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</si>
  <si>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</si>
  <si>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</si>
  <si>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</si>
  <si>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</si>
  <si>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</si>
  <si>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</si>
  <si>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</si>
  <si>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</si>
  <si>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</si>
  <si>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</si>
  <si>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</si>
  <si>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</si>
  <si>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</si>
  <si>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</si>
  <si>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</si>
  <si>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</si>
  <si>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</si>
  <si>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</si>
  <si>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</si>
  <si>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</si>
  <si>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</si>
  <si>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</si>
  <si>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</si>
  <si>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</si>
  <si>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</si>
  <si>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</si>
  <si>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</si>
  <si>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</si>
  <si>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</si>
  <si>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</si>
  <si>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</si>
  <si>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</si>
  <si>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</si>
  <si>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</si>
  <si>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</si>
  <si>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</si>
  <si>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</si>
  <si>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</si>
  <si>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</si>
  <si>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</si>
  <si>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</si>
  <si>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</si>
  <si>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</si>
  <si>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</si>
  <si>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</si>
  <si>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</si>
  <si>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</si>
  <si>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</si>
  <si>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</si>
  <si>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</si>
  <si>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</si>
  <si>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</si>
  <si>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</si>
  <si>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</si>
  <si>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</si>
  <si>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</si>
  <si>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</si>
  <si>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</si>
  <si>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</si>
  <si>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</si>
  <si>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</si>
  <si>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</si>
  <si>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</si>
  <si>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</si>
  <si>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</si>
  <si>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</si>
  <si>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</si>
  <si>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</si>
  <si>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</si>
  <si>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</si>
  <si>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</si>
  <si>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</si>
  <si>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</si>
  <si>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</si>
  <si>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</si>
  <si>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</si>
  <si>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</si>
  <si>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</si>
  <si>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</si>
  <si>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</si>
  <si>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</si>
  <si>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</si>
  <si>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</si>
  <si>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</si>
  <si>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</si>
  <si>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</si>
  <si>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</si>
  <si>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</si>
  <si>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</si>
  <si>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</si>
  <si>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</si>
  <si>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</si>
  <si>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</si>
  <si>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</si>
  <si>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</si>
  <si>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</si>
  <si>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</si>
  <si>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</si>
  <si>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</si>
  <si>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</si>
  <si>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</si>
  <si>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</si>
  <si>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</si>
  <si>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</si>
  <si>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</si>
  <si>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</si>
  <si>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</si>
  <si>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</si>
  <si>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</si>
  <si>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</si>
  <si>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</si>
  <si>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</si>
  <si>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</si>
  <si>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</si>
  <si>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</si>
  <si>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</si>
  <si>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</si>
  <si>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</si>
  <si>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</si>
  <si>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</si>
  <si>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</si>
  <si>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</si>
  <si>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</si>
  <si>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</si>
  <si>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</si>
  <si>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</si>
  <si>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</si>
  <si>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</si>
  <si>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</si>
  <si>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</si>
  <si>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</si>
  <si>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</si>
  <si>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</si>
  <si>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</si>
  <si>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</si>
  <si>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</si>
  <si>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</si>
  <si>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</si>
  <si>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</si>
  <si>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</si>
  <si>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</si>
  <si>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</si>
  <si>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</si>
  <si>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</si>
  <si>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</si>
  <si>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</si>
  <si>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</si>
  <si>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</si>
  <si>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</si>
  <si>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</si>
  <si>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</si>
  <si>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</si>
  <si>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</si>
  <si>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</si>
  <si>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</si>
  <si>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</si>
  <si>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</si>
  <si>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</si>
  <si>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</si>
  <si>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</si>
  <si>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</si>
  <si>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</si>
  <si>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</si>
  <si>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</si>
  <si>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</si>
  <si>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</si>
  <si>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</si>
  <si>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</si>
  <si>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</si>
  <si>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</si>
  <si>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</si>
  <si>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</si>
  <si>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</si>
  <si>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</si>
  <si>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</si>
  <si>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</si>
  <si>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</si>
  <si>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</si>
  <si>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</si>
  <si>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</si>
  <si>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</si>
  <si>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</si>
  <si>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</si>
  <si>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</si>
  <si>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</si>
  <si>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</si>
  <si>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</si>
  <si>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</si>
  <si>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</si>
  <si>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</si>
  <si>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</si>
  <si>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</si>
  <si>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</si>
  <si>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</si>
  <si>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</si>
  <si>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</si>
  <si>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</si>
  <si>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</si>
  <si>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</si>
  <si>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</si>
  <si>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</si>
  <si>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</si>
  <si>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</si>
  <si>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</si>
  <si>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</si>
  <si>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</si>
  <si>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</si>
  <si>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</si>
  <si>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</si>
  <si>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</si>
  <si>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</si>
  <si>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</si>
  <si>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</si>
  <si>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</si>
  <si>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</si>
  <si>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</si>
  <si>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</si>
  <si>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</si>
  <si>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</si>
  <si>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</si>
  <si>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</si>
  <si>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</si>
  <si>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</si>
  <si>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</si>
  <si>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</si>
  <si>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</si>
  <si>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</si>
  <si>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</si>
  <si>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</si>
  <si>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</si>
  <si>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</si>
  <si>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</si>
  <si>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</si>
  <si>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</si>
  <si>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</si>
  <si>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</si>
  <si>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</si>
  <si>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</si>
  <si>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</si>
  <si>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</si>
  <si>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</si>
  <si>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</si>
  <si>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</si>
  <si>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</si>
  <si>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</si>
  <si>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</si>
  <si>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</si>
  <si>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</si>
  <si>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</si>
  <si>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</si>
  <si>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</si>
  <si>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</si>
  <si>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</si>
  <si>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</si>
  <si>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</si>
  <si>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</si>
  <si>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</si>
  <si>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</si>
  <si>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</si>
  <si>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</si>
  <si>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</si>
  <si>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</si>
  <si>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</si>
  <si>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</si>
  <si>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</si>
  <si>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</si>
  <si>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</si>
  <si>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</si>
  <si>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</si>
  <si>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</si>
  <si>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</si>
  <si>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</si>
  <si>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</si>
  <si>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</si>
  <si>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</si>
  <si>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</si>
  <si>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</si>
  <si>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</si>
  <si>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</si>
  <si>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</si>
  <si>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</si>
  <si>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</si>
  <si>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</si>
  <si>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</si>
  <si>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</si>
  <si>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</si>
  <si>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</si>
  <si>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</si>
  <si>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</si>
  <si>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</si>
  <si>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</si>
  <si>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</si>
  <si>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</si>
  <si>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</si>
  <si>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</si>
  <si>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</si>
  <si>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</si>
  <si>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</si>
  <si>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</si>
  <si>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</si>
  <si>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</si>
  <si>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</si>
  <si>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</si>
  <si>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</si>
  <si>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</si>
  <si>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</si>
  <si>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</si>
  <si>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</si>
  <si>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</si>
  <si>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</si>
  <si>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</si>
  <si>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</si>
  <si>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</si>
  <si>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</si>
  <si>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</si>
  <si>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</si>
  <si>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</si>
  <si>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</si>
  <si>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</si>
  <si>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</si>
  <si>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</si>
  <si>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</si>
  <si>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</si>
  <si>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</si>
  <si>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</si>
  <si>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</si>
  <si>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</si>
  <si>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</si>
  <si>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</si>
  <si>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</si>
  <si>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</si>
  <si>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</si>
  <si>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</si>
  <si>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</si>
  <si>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</si>
  <si>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</si>
  <si>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</si>
  <si>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</si>
  <si>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</si>
  <si>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</si>
  <si>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</si>
  <si>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</si>
  <si>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</si>
  <si>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</si>
  <si>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</si>
  <si>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</si>
  <si>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</si>
  <si>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</si>
  <si>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</si>
  <si>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</si>
  <si>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</si>
  <si>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</si>
  <si>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</si>
  <si>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</si>
  <si>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</si>
  <si>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</si>
  <si>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</si>
  <si>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</si>
  <si>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</si>
  <si>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</si>
  <si>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</si>
  <si>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</si>
  <si>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</si>
  <si>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</si>
  <si>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</si>
  <si>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</si>
  <si>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</si>
  <si>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</si>
  <si>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</si>
  <si>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</si>
  <si>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</si>
  <si>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</si>
  <si>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</si>
  <si>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</si>
  <si>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</si>
  <si>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</si>
  <si>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</si>
  <si>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</si>
  <si>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</si>
  <si>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</si>
  <si>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</si>
  <si>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</si>
  <si>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</si>
  <si>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</si>
  <si>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</si>
  <si>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</si>
  <si>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</si>
  <si>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</si>
  <si>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</si>
  <si>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</si>
  <si>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</si>
  <si>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</si>
  <si>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</si>
  <si>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</si>
  <si>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</si>
  <si>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</si>
  <si>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</si>
  <si>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</si>
  <si>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</si>
  <si>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</si>
  <si>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</si>
  <si>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</si>
  <si>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</si>
  <si>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</si>
  <si>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</si>
  <si>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</si>
  <si>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</si>
  <si>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</si>
  <si>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</si>
  <si>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</si>
  <si>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</si>
  <si>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</si>
  <si>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</si>
  <si>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</si>
  <si>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</si>
  <si>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</si>
  <si>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</si>
  <si>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</si>
  <si>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</si>
  <si>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</si>
  <si>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</si>
  <si>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</si>
  <si>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</si>
  <si>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</si>
  <si>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</si>
  <si>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</si>
  <si>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</si>
  <si>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</si>
  <si>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</si>
  <si>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</si>
  <si>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</si>
  <si>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</si>
  <si>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</si>
  <si>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</si>
  <si>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</si>
  <si>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</si>
  <si>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</si>
  <si>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</si>
  <si>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</si>
  <si>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</si>
  <si>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</si>
  <si>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</si>
  <si>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</si>
  <si>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</si>
  <si>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</si>
  <si>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</si>
  <si>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</si>
  <si>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</si>
  <si>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</si>
  <si>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</si>
  <si>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</si>
  <si>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</si>
  <si>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</si>
  <si>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</si>
  <si>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</si>
  <si>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</si>
  <si>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</si>
  <si>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</si>
  <si>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</si>
  <si>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</si>
  <si>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</si>
  <si>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</si>
  <si>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</si>
  <si>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</si>
  <si>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</si>
  <si>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</si>
  <si>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</si>
  <si>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</si>
  <si>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</si>
  <si>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</si>
  <si>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</si>
  <si>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</si>
  <si>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</si>
  <si>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</si>
  <si>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</si>
  <si>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</si>
  <si>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</si>
  <si>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</si>
  <si>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</si>
  <si>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</si>
  <si>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</si>
  <si>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</si>
  <si>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</si>
  <si>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</si>
  <si>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</si>
  <si>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</si>
  <si>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</si>
  <si>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</si>
  <si>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</si>
  <si>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</si>
  <si>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</si>
  <si>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</si>
  <si>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</si>
  <si>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</si>
  <si>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</si>
  <si>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</si>
  <si>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</si>
  <si>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</si>
  <si>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</si>
  <si>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</si>
  <si>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</si>
  <si>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</si>
  <si>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</si>
  <si>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</si>
  <si>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</si>
  <si>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</si>
  <si>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</si>
  <si>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</si>
  <si>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</si>
  <si>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</si>
  <si>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</si>
  <si>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</si>
  <si>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</si>
  <si>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</si>
  <si>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</si>
  <si>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</si>
  <si>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</si>
  <si>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</si>
  <si>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</si>
  <si>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</si>
  <si>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</si>
  <si>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</si>
  <si>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</si>
  <si>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</si>
  <si>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</si>
  <si>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</si>
  <si>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</si>
  <si>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</si>
  <si>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</si>
  <si>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</si>
  <si>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</si>
  <si>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</si>
  <si>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</si>
  <si>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</si>
  <si>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</si>
  <si>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</si>
  <si>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</si>
  <si>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</si>
  <si>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</si>
  <si>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</si>
  <si>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</si>
  <si>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</si>
  <si>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</si>
  <si>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</si>
  <si>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</si>
  <si>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</si>
  <si>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</si>
  <si>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</si>
  <si>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</si>
  <si>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</si>
  <si>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</si>
  <si>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</si>
  <si>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</si>
  <si>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</si>
  <si>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</si>
  <si>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</si>
  <si>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</si>
  <si>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</si>
  <si>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</si>
  <si>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</si>
  <si>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</si>
  <si>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</si>
  <si>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</si>
  <si>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</si>
  <si>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</si>
  <si>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</si>
  <si>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</si>
  <si>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</si>
  <si>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</si>
  <si>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</si>
  <si>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</si>
  <si>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</si>
  <si>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</si>
  <si>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</si>
  <si>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</si>
  <si>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</si>
  <si>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</si>
  <si>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</si>
  <si>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</si>
  <si>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</si>
  <si>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</si>
  <si>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</si>
  <si>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</si>
  <si>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</si>
  <si>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</si>
  <si>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</si>
  <si>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</si>
  <si>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</si>
  <si>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</si>
  <si>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</si>
  <si>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</si>
  <si>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</si>
  <si>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</si>
  <si>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</si>
  <si>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</si>
  <si>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</si>
  <si>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</si>
  <si>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</si>
  <si>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</si>
  <si>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</si>
  <si>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</si>
  <si>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</si>
  <si>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</si>
  <si>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</si>
  <si>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</si>
  <si>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</si>
  <si>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</si>
  <si>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</si>
  <si>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</si>
  <si>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</si>
  <si>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</si>
  <si>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</si>
  <si>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</si>
  <si>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</si>
  <si>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</si>
  <si>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</si>
  <si>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</si>
  <si>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</si>
  <si>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</si>
  <si>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</si>
  <si>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</si>
  <si>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</si>
  <si>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</si>
  <si>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</si>
  <si>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</si>
  <si>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</si>
  <si>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</si>
  <si>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</si>
  <si>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</si>
  <si>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</si>
  <si>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</si>
  <si>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</si>
  <si>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</si>
  <si>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</si>
  <si>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</si>
  <si>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</si>
  <si>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</si>
  <si>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</si>
  <si>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</si>
  <si>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</si>
  <si>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</si>
  <si>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</si>
  <si>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</si>
  <si>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</si>
  <si>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</si>
  <si>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</si>
  <si>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</si>
  <si>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</si>
  <si>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</si>
  <si>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</si>
  <si>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</si>
  <si>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</si>
  <si>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</si>
  <si>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</si>
  <si>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</si>
  <si>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</si>
  <si>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</si>
  <si>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</si>
  <si>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</si>
  <si>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</si>
  <si>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</si>
  <si>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</si>
  <si>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</si>
  <si>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</si>
  <si>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</si>
  <si>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</si>
  <si>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</si>
  <si>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</si>
  <si>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</si>
  <si>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</si>
  <si>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</si>
  <si>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</si>
  <si>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</si>
  <si>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</si>
  <si>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</si>
  <si>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</si>
  <si>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</si>
  <si>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</si>
  <si>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</si>
  <si>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</si>
  <si>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</si>
  <si>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</si>
  <si>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</si>
  <si>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</si>
  <si>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</si>
  <si>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</si>
  <si>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</si>
  <si>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</si>
  <si>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</si>
  <si>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</si>
  <si>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</si>
  <si>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</si>
  <si>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</si>
  <si>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</si>
  <si>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</si>
  <si>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</si>
  <si>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</si>
  <si>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</si>
  <si>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</si>
  <si>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</si>
  <si>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</si>
  <si>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</si>
  <si>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</si>
  <si>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</si>
  <si>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</si>
  <si>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</si>
  <si>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</si>
  <si>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</si>
  <si>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</si>
  <si>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</si>
  <si>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</si>
  <si>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</si>
  <si>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</si>
  <si>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</si>
  <si>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</si>
  <si>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</si>
  <si>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</si>
  <si>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</si>
  <si>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</si>
  <si>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</si>
  <si>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</si>
  <si>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</si>
  <si>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</si>
  <si>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</si>
  <si>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</si>
  <si>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</si>
  <si>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</si>
  <si>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</si>
  <si>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</si>
  <si>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</si>
  <si>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</si>
  <si>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</si>
  <si>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</si>
  <si>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</si>
  <si>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</si>
  <si>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</si>
  <si>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</si>
  <si>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</si>
  <si>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</si>
  <si>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</si>
  <si>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</si>
  <si>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</si>
  <si>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</si>
  <si>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</si>
  <si>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</si>
  <si>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</si>
  <si>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</si>
  <si>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</si>
  <si>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</si>
  <si>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</si>
  <si>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</si>
  <si>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</si>
  <si>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</si>
  <si>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</si>
  <si>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</si>
  <si>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</si>
  <si>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</si>
  <si>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</si>
  <si>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</si>
  <si>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</si>
  <si>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</si>
  <si>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</si>
  <si>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</si>
  <si>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</si>
  <si>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</si>
  <si>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</si>
  <si>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</si>
  <si>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</si>
  <si>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</si>
  <si>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</si>
  <si>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</si>
  <si>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</si>
  <si>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</si>
  <si>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</si>
  <si>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</si>
  <si>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</si>
  <si>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</si>
  <si>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</si>
  <si>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</si>
  <si>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</si>
  <si>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</si>
  <si>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</si>
  <si>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</si>
  <si>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</si>
  <si>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</si>
  <si>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</si>
  <si>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</si>
  <si>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</si>
  <si>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</si>
  <si>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</si>
  <si>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</si>
  <si>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</si>
  <si>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</si>
  <si>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</si>
  <si>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</si>
  <si>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</si>
  <si>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</si>
  <si>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</si>
  <si>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</si>
  <si>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</si>
  <si>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</si>
  <si>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</si>
  <si>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</si>
  <si>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</si>
  <si>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</si>
  <si>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</si>
  <si>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</si>
  <si>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</si>
  <si>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</si>
  <si>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</si>
  <si>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</si>
  <si>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</si>
  <si>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</si>
  <si>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</si>
  <si>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</si>
  <si>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</si>
  <si>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</si>
  <si>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</si>
  <si>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</si>
  <si>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</si>
  <si>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</si>
  <si>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</si>
  <si>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</si>
  <si>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</si>
  <si>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</si>
  <si>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</si>
  <si>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</si>
  <si>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</si>
  <si>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</si>
  <si>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</si>
  <si>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</si>
  <si>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</si>
  <si>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</si>
  <si>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</si>
  <si>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</si>
  <si>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</si>
  <si>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</si>
  <si>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</si>
  <si>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</si>
  <si>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</si>
  <si>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</si>
  <si>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</si>
  <si>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</si>
  <si>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</si>
  <si>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</si>
  <si>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</si>
  <si>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</si>
  <si>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</si>
  <si>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</si>
  <si>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</si>
  <si>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</si>
  <si>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</si>
  <si>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</si>
  <si>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</si>
  <si>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</si>
  <si>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</si>
  <si>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</si>
  <si>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</si>
  <si>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</si>
  <si>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</si>
  <si>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</si>
  <si>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</si>
  <si>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</si>
  <si>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</si>
  <si>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</si>
  <si>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</si>
  <si>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</si>
  <si>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</si>
  <si>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</si>
  <si>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</si>
  <si>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</si>
  <si>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</si>
  <si>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</si>
  <si>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</si>
  <si>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</si>
  <si>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</si>
  <si>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</si>
  <si>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</si>
  <si>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</si>
  <si>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</si>
  <si>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</si>
  <si>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</si>
  <si>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</si>
  <si>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</si>
  <si>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</si>
  <si>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</si>
  <si>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</si>
  <si>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</si>
  <si>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</si>
  <si>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</si>
  <si>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</si>
  <si>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</si>
  <si>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</si>
  <si>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</si>
  <si>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</si>
  <si>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</si>
  <si>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</si>
  <si>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</si>
  <si>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</si>
  <si>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</si>
  <si>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</si>
  <si>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</si>
  <si>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</si>
  <si>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</si>
  <si>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</si>
  <si>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</si>
  <si>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</si>
  <si>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</si>
  <si>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</si>
  <si>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</si>
  <si>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</si>
  <si>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</si>
  <si>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</si>
  <si>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</si>
  <si>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</si>
  <si>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</si>
  <si>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</si>
  <si>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</si>
  <si>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</si>
  <si>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</si>
  <si>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</si>
  <si>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</si>
  <si>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</si>
  <si>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</si>
  <si>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</si>
  <si>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</si>
  <si>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</si>
  <si>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</si>
  <si>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</si>
  <si>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</si>
  <si>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</si>
  <si>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</si>
  <si>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</si>
  <si>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</si>
  <si>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</si>
  <si>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</si>
  <si>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</si>
  <si>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</si>
  <si>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</si>
  <si>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</si>
  <si>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</si>
  <si>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</si>
  <si>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</si>
  <si>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</si>
  <si>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</si>
  <si>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</si>
  <si>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</si>
  <si>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</si>
  <si>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</si>
  <si>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</si>
  <si>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</si>
  <si>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</si>
  <si>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</si>
  <si>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</si>
  <si>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</si>
  <si>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</si>
  <si>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</si>
  <si>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</si>
  <si>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</si>
  <si>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</si>
  <si>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</si>
  <si>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</si>
  <si>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</si>
  <si>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</si>
  <si>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</si>
  <si>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</si>
  <si>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</si>
  <si>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</si>
  <si>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</si>
  <si>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</si>
  <si>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</si>
  <si>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</si>
  <si>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</si>
  <si>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</si>
  <si>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</si>
  <si>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</si>
  <si>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</si>
  <si>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</si>
  <si>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</si>
  <si>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</si>
  <si>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</si>
  <si>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</si>
  <si>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</si>
  <si>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</si>
  <si>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</si>
  <si>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</si>
  <si>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</si>
  <si>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</si>
  <si>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</si>
  <si>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</si>
  <si>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</si>
  <si>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</si>
  <si>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</si>
  <si>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</si>
  <si>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</si>
  <si>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</si>
  <si>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</si>
  <si>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</si>
  <si>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</si>
  <si>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</si>
  <si>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</si>
  <si>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</si>
  <si>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</si>
  <si>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</si>
  <si>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</si>
  <si>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</si>
  <si>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</si>
  <si>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</si>
  <si>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</si>
  <si>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</si>
  <si>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</si>
  <si>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</si>
  <si>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</si>
  <si>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</si>
  <si>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</si>
  <si>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</si>
  <si>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</si>
  <si>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</si>
  <si>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</si>
  <si>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</si>
  <si>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</si>
  <si>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</si>
  <si>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</si>
  <si>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</si>
  <si>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</si>
  <si>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</si>
  <si>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</si>
  <si>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</si>
  <si>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</si>
  <si>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</si>
  <si>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</si>
  <si>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</si>
  <si>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</si>
  <si>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</si>
  <si>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</si>
  <si>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</si>
  <si>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</si>
  <si>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</si>
  <si>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</si>
  <si>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</si>
  <si>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</si>
  <si>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</si>
  <si>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</si>
  <si>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</si>
  <si>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</si>
  <si>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</si>
  <si>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</si>
  <si>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</si>
  <si>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</si>
  <si>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</si>
  <si>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</si>
  <si>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</si>
  <si>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</si>
  <si>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</si>
  <si>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</si>
  <si>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</si>
  <si>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</si>
  <si>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</si>
  <si>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</si>
  <si>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</si>
  <si>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</si>
  <si>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</si>
  <si>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</si>
  <si>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</si>
  <si>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</si>
  <si>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</si>
  <si>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</si>
  <si>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</si>
  <si>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</si>
  <si>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</si>
  <si>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</si>
  <si>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</si>
  <si>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</si>
  <si>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</si>
  <si>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</si>
  <si>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</si>
  <si>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</si>
  <si>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</si>
  <si>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</si>
  <si>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</si>
  <si>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</si>
  <si>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</si>
  <si>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</si>
  <si>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</si>
  <si>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</si>
  <si>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</si>
  <si>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</si>
  <si>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</si>
  <si>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</si>
  <si>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</si>
  <si>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</si>
  <si>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</si>
  <si>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</si>
  <si>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</si>
  <si>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</si>
  <si>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</si>
  <si>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</si>
  <si>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</si>
  <si>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</si>
  <si>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</si>
  <si>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</si>
  <si>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</si>
  <si>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</si>
  <si>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</si>
  <si>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</si>
  <si>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</si>
  <si>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</si>
  <si>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</si>
  <si>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</si>
  <si>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</si>
  <si>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</si>
  <si>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</si>
  <si>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</si>
  <si>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</si>
  <si>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</si>
  <si>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</si>
  <si>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</si>
  <si>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</si>
  <si>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</si>
  <si>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</si>
  <si>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</si>
  <si>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</si>
  <si>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</si>
  <si>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</si>
  <si>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</si>
  <si>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</si>
  <si>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</si>
  <si>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</si>
  <si>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</si>
  <si>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</si>
  <si>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</si>
  <si>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</si>
  <si>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</si>
  <si>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</si>
  <si>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</si>
  <si>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</si>
  <si>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</si>
  <si>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</si>
  <si>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</si>
  <si>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</si>
  <si>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</si>
  <si>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</si>
  <si>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</si>
  <si>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</si>
  <si>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</si>
  <si>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</si>
  <si>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</si>
  <si>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</si>
  <si>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</si>
  <si>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</si>
  <si>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</si>
  <si>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</si>
  <si>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</si>
  <si>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</si>
  <si>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</si>
  <si>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</si>
  <si>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</si>
  <si>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</si>
  <si>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</si>
  <si>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</si>
  <si>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</si>
  <si>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</si>
  <si>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</si>
  <si>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</si>
  <si>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</si>
  <si>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</si>
  <si>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</si>
  <si>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</si>
  <si>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</si>
  <si>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</si>
  <si>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</si>
  <si>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</si>
  <si>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</si>
  <si>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</si>
  <si>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</si>
  <si>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</si>
  <si>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</si>
  <si>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</si>
  <si>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</si>
  <si>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</si>
  <si>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</si>
  <si>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</si>
  <si>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</si>
  <si>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</si>
  <si>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</si>
  <si>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</si>
  <si>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</si>
  <si>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</si>
  <si>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</si>
  <si>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</si>
  <si>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</si>
  <si>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</si>
  <si>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</si>
  <si>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</si>
  <si>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</si>
  <si>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</si>
  <si>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</si>
  <si>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</si>
  <si>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</si>
  <si>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</si>
  <si>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</si>
  <si>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</si>
  <si>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</si>
  <si>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</si>
  <si>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</si>
  <si>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</si>
  <si>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</si>
  <si>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</si>
  <si>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</si>
  <si>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</si>
  <si>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</si>
  <si>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</si>
  <si>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</si>
  <si>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</si>
  <si>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</si>
  <si>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</si>
  <si>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</si>
  <si>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</si>
  <si>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</si>
  <si>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</si>
  <si>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</si>
  <si>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</si>
  <si>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</si>
  <si>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</si>
  <si>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</si>
  <si>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</si>
  <si>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</si>
  <si>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</si>
  <si>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</si>
  <si>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</si>
  <si>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</si>
  <si>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</si>
  <si>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</si>
  <si>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</si>
  <si>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</si>
  <si>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</si>
  <si>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</si>
  <si>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</si>
  <si>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</si>
  <si>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</si>
  <si>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</si>
  <si>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</si>
  <si>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</si>
  <si>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</si>
  <si>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</si>
  <si>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</si>
  <si>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</si>
  <si>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</si>
  <si>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</si>
  <si>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</si>
  <si>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</si>
  <si>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</si>
  <si>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</si>
  <si>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</si>
  <si>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</si>
  <si>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</si>
  <si>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</si>
  <si>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</si>
  <si>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</si>
  <si>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</si>
  <si>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</si>
  <si>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</si>
  <si>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</si>
  <si>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</si>
  <si>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</si>
  <si>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</si>
  <si>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</si>
  <si>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</si>
  <si>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</si>
  <si>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</si>
  <si>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</si>
  <si>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</si>
  <si>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</si>
  <si>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</si>
  <si>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</si>
  <si>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</si>
  <si>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</si>
  <si>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</si>
  <si>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</si>
  <si>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</si>
  <si>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</si>
  <si>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</si>
  <si>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</si>
  <si>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</si>
  <si>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</si>
  <si>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</si>
  <si>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</si>
  <si>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</si>
  <si>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</si>
  <si>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</si>
  <si>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</si>
  <si>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</si>
  <si>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</si>
  <si>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</si>
  <si>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</si>
  <si>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</si>
  <si>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</si>
  <si>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</si>
  <si>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</si>
  <si>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</si>
  <si>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</si>
  <si>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</si>
  <si>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</si>
  <si>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</si>
  <si>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</si>
  <si>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</si>
  <si>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</si>
  <si>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</si>
  <si>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</si>
  <si>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</si>
  <si>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</si>
  <si>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</si>
  <si>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</si>
  <si>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</si>
  <si>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</si>
  <si>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</si>
  <si>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</si>
  <si>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</si>
  <si>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</si>
  <si>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</si>
  <si>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</si>
  <si>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</si>
  <si>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</si>
  <si>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</si>
  <si>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</si>
  <si>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</si>
  <si>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</si>
  <si>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</si>
  <si>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</si>
  <si>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</si>
  <si>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</si>
  <si>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</si>
  <si>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</si>
  <si>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</si>
  <si>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</si>
  <si>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</si>
  <si>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</si>
  <si>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</si>
  <si>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</si>
  <si>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</si>
  <si>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</si>
  <si>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</si>
  <si>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</si>
  <si>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</si>
  <si>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</si>
  <si>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</si>
  <si>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</si>
  <si>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</si>
  <si>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</si>
  <si>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</si>
  <si>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</si>
  <si>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</si>
  <si>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</si>
  <si>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</si>
  <si>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</si>
  <si>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</si>
  <si>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</si>
  <si>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</si>
  <si>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</si>
  <si>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</si>
  <si>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</si>
  <si>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</si>
  <si>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</si>
  <si>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</si>
  <si>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</si>
  <si>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</si>
  <si>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</si>
  <si>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</si>
  <si>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</si>
  <si>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</si>
  <si>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</si>
  <si>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</si>
  <si>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</si>
  <si>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</si>
  <si>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</si>
  <si>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</si>
  <si>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</si>
  <si>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</si>
  <si>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</si>
  <si>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</si>
  <si>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</si>
  <si>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</si>
  <si>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</si>
  <si>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</si>
  <si>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</si>
  <si>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</si>
  <si>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</si>
  <si>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</si>
  <si>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</si>
  <si>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</si>
  <si>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</si>
  <si>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</si>
  <si>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</si>
  <si>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</si>
  <si>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</si>
  <si>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</si>
  <si>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</si>
  <si>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</si>
  <si>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</si>
  <si>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</si>
  <si>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</si>
  <si>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</si>
  <si>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</si>
  <si>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</si>
  <si>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</si>
  <si>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</si>
  <si>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</si>
  <si>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</si>
  <si>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</si>
  <si>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</si>
  <si>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</si>
  <si>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</si>
  <si>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</si>
  <si>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</si>
  <si>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</si>
  <si>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</si>
  <si>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</si>
  <si>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</si>
  <si>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</si>
  <si>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</si>
  <si>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</si>
  <si>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</si>
  <si>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</si>
  <si>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</si>
  <si>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</si>
  <si>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</si>
  <si>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</si>
  <si>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</si>
  <si>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</si>
  <si>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</si>
  <si>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</si>
  <si>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</si>
  <si>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</si>
  <si>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</si>
  <si>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</si>
  <si>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</si>
  <si>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</si>
  <si>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</si>
  <si>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</si>
  <si>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</si>
  <si>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</si>
  <si>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</si>
  <si>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</si>
  <si>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</si>
  <si>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</si>
  <si>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</si>
  <si>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</si>
  <si>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</si>
  <si>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</si>
  <si>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</si>
  <si>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</si>
  <si>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</si>
  <si>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</si>
  <si>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</si>
  <si>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</si>
  <si>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</si>
  <si>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</si>
  <si>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</si>
  <si>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</si>
  <si>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</si>
  <si>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</si>
  <si>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</si>
  <si>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</si>
  <si>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</si>
  <si>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</si>
  <si>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</si>
  <si>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</si>
  <si>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</si>
  <si>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</si>
  <si>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</si>
  <si>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</si>
  <si>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</si>
  <si>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</si>
  <si>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</si>
  <si>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</si>
  <si>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</si>
  <si>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</si>
  <si>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</si>
  <si>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</si>
  <si>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</si>
  <si>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</si>
  <si>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</si>
  <si>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</si>
  <si>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</si>
  <si>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</si>
  <si>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</si>
  <si>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</si>
  <si>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</si>
  <si>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</si>
  <si>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</si>
  <si>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</si>
  <si>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</si>
  <si>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</si>
  <si>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</si>
  <si>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</si>
  <si>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</si>
  <si>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</si>
  <si>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</si>
  <si>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</si>
  <si>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</si>
  <si>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</si>
  <si>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</si>
  <si>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</si>
  <si>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</si>
  <si>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</si>
  <si>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</si>
  <si>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</si>
  <si>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</si>
  <si>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</si>
  <si>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</si>
  <si>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</si>
  <si>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</si>
  <si>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</si>
  <si>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</si>
  <si>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</si>
  <si>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</si>
  <si>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</si>
  <si>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</si>
  <si>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</si>
  <si>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</si>
  <si>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</si>
  <si>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</si>
  <si>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</si>
  <si>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</si>
  <si>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</si>
  <si>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</si>
  <si>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</si>
  <si>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</si>
  <si>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</si>
  <si>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</si>
  <si>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</si>
  <si>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</si>
  <si>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</si>
  <si>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</si>
  <si>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</si>
  <si>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</si>
  <si>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</si>
  <si>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</si>
  <si>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</si>
  <si>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</si>
  <si>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</si>
  <si>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</si>
  <si>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</si>
  <si>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</si>
  <si>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</si>
  <si>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</si>
  <si>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</si>
  <si>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</si>
  <si>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</si>
  <si>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</si>
  <si>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</si>
  <si>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</si>
  <si>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</si>
  <si>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</si>
  <si>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</si>
  <si>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</si>
  <si>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</si>
  <si>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</si>
  <si>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</si>
  <si>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</si>
  <si>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</si>
  <si>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</si>
  <si>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</si>
  <si>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</si>
  <si>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</si>
  <si>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</si>
  <si>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</si>
  <si>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</si>
  <si>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</si>
  <si>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</si>
  <si>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</si>
  <si>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</si>
  <si>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</si>
  <si>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</si>
  <si>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</si>
  <si>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</si>
  <si>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</si>
  <si>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</si>
  <si>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</si>
  <si>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</si>
  <si>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</si>
  <si>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</si>
  <si>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</si>
  <si>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</si>
  <si>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</si>
  <si>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</si>
  <si>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</si>
  <si>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</si>
  <si>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</si>
  <si>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</si>
  <si>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</si>
  <si>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</si>
  <si>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</si>
  <si>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</si>
  <si>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</si>
  <si>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</si>
  <si>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</si>
  <si>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</si>
  <si>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</si>
  <si>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</si>
  <si>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</si>
  <si>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</si>
  <si>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</si>
  <si>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</si>
  <si>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</si>
  <si>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</si>
  <si>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</si>
  <si>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</si>
  <si>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</si>
  <si>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</si>
  <si>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</si>
  <si>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</si>
  <si>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</si>
  <si>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</si>
  <si>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</si>
  <si>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</si>
  <si>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</si>
  <si>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</si>
  <si>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</si>
  <si>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</si>
  <si>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</si>
  <si>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</si>
  <si>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</si>
  <si>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</si>
  <si>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</si>
  <si>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</si>
  <si>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</si>
  <si>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</si>
  <si>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</si>
  <si>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</si>
  <si>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</si>
  <si>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</si>
  <si>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</si>
  <si>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</si>
  <si>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</si>
  <si>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</si>
  <si>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</si>
  <si>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</si>
  <si>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</si>
  <si>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</si>
  <si>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</si>
  <si>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</si>
  <si>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</si>
  <si>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</si>
  <si>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</si>
  <si>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</si>
  <si>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</si>
  <si>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</si>
  <si>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</si>
  <si>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</si>
  <si>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</si>
  <si>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</si>
  <si>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</si>
  <si>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</si>
  <si>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</si>
  <si>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</si>
  <si>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</si>
  <si>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</si>
  <si>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</si>
  <si>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</si>
  <si>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</si>
  <si>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</si>
  <si>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</si>
  <si>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</si>
  <si>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</si>
  <si>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</si>
  <si>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</si>
  <si>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</si>
  <si>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</si>
  <si>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</si>
  <si>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</si>
  <si>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</si>
  <si>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</si>
  <si>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</si>
  <si>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</si>
  <si>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</si>
  <si>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</si>
  <si>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</si>
  <si>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</si>
  <si>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</si>
  <si>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</si>
  <si>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</si>
  <si>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</si>
  <si>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</si>
  <si>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</si>
  <si>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</si>
  <si>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</si>
  <si>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</si>
  <si>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</si>
  <si>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</si>
  <si>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</si>
  <si>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</si>
  <si>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</si>
  <si>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</si>
  <si>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</si>
  <si>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</si>
  <si>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</si>
  <si>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</si>
  <si>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</si>
  <si>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</si>
  <si>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</si>
  <si>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</si>
  <si>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</si>
  <si>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</si>
  <si>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</si>
  <si>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</si>
  <si>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</si>
  <si>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</si>
  <si>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</si>
  <si>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</si>
  <si>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</si>
  <si>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</si>
  <si>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</si>
  <si>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</si>
  <si>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</si>
  <si>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</si>
  <si>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</si>
  <si>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</si>
  <si>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</si>
  <si>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</si>
  <si>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</si>
  <si>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</si>
  <si>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</si>
  <si>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</si>
  <si>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</si>
  <si>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</si>
  <si>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</si>
  <si>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</si>
  <si>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</si>
  <si>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</si>
  <si>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</si>
  <si>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</si>
  <si>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</si>
  <si>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</si>
  <si>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</si>
  <si>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</si>
  <si>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</si>
  <si>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</si>
  <si>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</si>
  <si>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</si>
  <si>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</si>
  <si>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</si>
  <si>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</si>
  <si>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</si>
  <si>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</si>
  <si>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</si>
  <si>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</si>
  <si>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</si>
  <si>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</si>
  <si>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</si>
  <si>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</si>
  <si>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</si>
  <si>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</si>
  <si>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</si>
  <si>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</si>
  <si>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</si>
  <si>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</si>
  <si>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</si>
  <si>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</si>
  <si>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</si>
  <si>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</si>
  <si>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</si>
  <si>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</si>
  <si>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</si>
  <si>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</si>
  <si>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</si>
  <si>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</si>
  <si>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</si>
  <si>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</si>
  <si>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</si>
  <si>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</si>
  <si>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</si>
  <si>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</si>
  <si>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</si>
  <si>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</si>
  <si>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</si>
  <si>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</si>
  <si>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</si>
  <si>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</si>
  <si>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</si>
  <si>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</si>
  <si>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</si>
  <si>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</si>
  <si>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</si>
  <si>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</si>
  <si>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</si>
  <si>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</si>
  <si>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</si>
  <si>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</si>
  <si>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</si>
  <si>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</si>
  <si>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</si>
  <si>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</si>
  <si>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</si>
  <si>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</si>
  <si>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</si>
  <si>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</si>
  <si>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</si>
  <si>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</si>
  <si>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</si>
  <si>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</si>
  <si>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</si>
  <si>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</si>
  <si>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</si>
  <si>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</si>
  <si>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</si>
  <si>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</si>
  <si>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</si>
  <si>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</si>
  <si>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</si>
  <si>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</si>
  <si>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</si>
  <si>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</si>
  <si>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</si>
  <si>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</si>
  <si>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</si>
  <si>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</si>
  <si>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</si>
  <si>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</si>
  <si>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</si>
  <si>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</si>
  <si>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</si>
  <si>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</si>
  <si>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</si>
  <si>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</si>
  <si>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</si>
  <si>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</si>
  <si>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</si>
  <si>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</si>
  <si>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</si>
  <si>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</si>
  <si>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</si>
  <si>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</si>
  <si>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</si>
  <si>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</si>
  <si>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</si>
  <si>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</si>
  <si>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</si>
  <si>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</si>
  <si>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</si>
  <si>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</si>
  <si>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</si>
  <si>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</si>
  <si>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</si>
  <si>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</si>
  <si>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</si>
  <si>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</si>
  <si>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</si>
  <si>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</si>
  <si>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</si>
  <si>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</si>
  <si>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</si>
  <si>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</si>
  <si>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</si>
  <si>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</si>
  <si>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</si>
  <si>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</si>
  <si>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</si>
  <si>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</si>
  <si>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</si>
  <si>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</si>
  <si>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</si>
  <si>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</si>
  <si>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</si>
  <si>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</si>
  <si>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</si>
  <si>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</si>
  <si>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</si>
  <si>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</si>
  <si>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</si>
  <si>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</si>
  <si>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</si>
  <si>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</si>
  <si>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</si>
  <si>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</si>
  <si>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</si>
  <si>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</si>
  <si>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</si>
  <si>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</si>
  <si>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</si>
  <si>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</si>
  <si>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</si>
  <si>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</si>
  <si>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</si>
  <si>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</si>
  <si>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</si>
  <si>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</si>
  <si>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</si>
  <si>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</si>
  <si>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</si>
  <si>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</si>
  <si>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</si>
  <si>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</si>
  <si>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</si>
  <si>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</si>
  <si>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</si>
  <si>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</si>
  <si>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</si>
  <si>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</si>
  <si>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</si>
  <si>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</si>
  <si>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</si>
  <si>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</si>
  <si>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</si>
  <si>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</si>
  <si>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</si>
  <si>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</si>
  <si>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</si>
  <si>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</si>
  <si>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</si>
  <si>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</si>
  <si>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</si>
  <si>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</si>
  <si>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</si>
  <si>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</si>
  <si>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</si>
  <si>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</si>
  <si>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</si>
  <si>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</si>
  <si>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</si>
  <si>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</si>
  <si>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</si>
  <si>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</si>
  <si>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</si>
  <si>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</si>
  <si>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</si>
  <si>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</si>
  <si>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</si>
  <si>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</si>
  <si>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</si>
  <si>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</si>
  <si>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</si>
  <si>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</si>
  <si>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</si>
  <si>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</si>
  <si>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</si>
  <si>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</si>
  <si>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</si>
  <si>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</si>
  <si>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</si>
  <si>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</si>
  <si>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</si>
  <si>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</si>
  <si>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</si>
  <si>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</si>
  <si>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</si>
  <si>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</si>
  <si>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</si>
  <si>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</si>
  <si>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</si>
  <si>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</si>
  <si>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</si>
  <si>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</si>
  <si>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</si>
  <si>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</si>
  <si>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</si>
  <si>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</si>
  <si>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</si>
  <si>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</si>
  <si>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</si>
  <si>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</si>
  <si>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</si>
  <si>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</si>
  <si>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</si>
  <si>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</si>
  <si>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</si>
  <si>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</si>
  <si>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</si>
  <si>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</si>
  <si>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</si>
  <si>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</si>
  <si>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</si>
  <si>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</si>
  <si>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</si>
  <si>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</si>
  <si>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</si>
  <si>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</si>
  <si>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</si>
  <si>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</si>
  <si>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</si>
  <si>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</si>
  <si>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</si>
  <si>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</si>
  <si>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</si>
  <si>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</si>
  <si>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</si>
  <si>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</si>
  <si>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</si>
  <si>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</si>
  <si>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</si>
  <si>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</si>
  <si>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</si>
  <si>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</si>
  <si>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</si>
  <si>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</si>
  <si>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</si>
  <si>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</si>
  <si>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</si>
  <si>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</si>
  <si>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</si>
  <si>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</si>
  <si>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</si>
  <si>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</si>
  <si>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</si>
  <si>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</si>
  <si>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</si>
  <si>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</si>
  <si>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</si>
  <si>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</si>
  <si>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</si>
  <si>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</si>
  <si>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</si>
  <si>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</si>
  <si>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</si>
  <si>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</si>
  <si>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</si>
  <si>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</si>
  <si>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</si>
  <si>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</si>
  <si>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</si>
  <si>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</si>
  <si>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</si>
  <si>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</si>
  <si>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</si>
  <si>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</si>
  <si>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</si>
  <si>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</si>
  <si>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</si>
  <si>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</si>
  <si>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</si>
  <si>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</si>
  <si>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</si>
  <si>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</si>
  <si>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</si>
  <si>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</si>
  <si>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</si>
  <si>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</si>
  <si>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</si>
  <si>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</si>
  <si>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</si>
  <si>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</si>
  <si>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</si>
  <si>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</si>
  <si>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</si>
  <si>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</si>
  <si>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</si>
  <si>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</si>
  <si>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</si>
  <si>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</si>
  <si>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</si>
  <si>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</si>
  <si>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</si>
  <si>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</si>
  <si>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</si>
  <si>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</si>
  <si>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</si>
  <si>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</si>
  <si>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</si>
  <si>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</si>
  <si>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</si>
  <si>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</si>
  <si>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</si>
  <si>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</si>
  <si>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</si>
  <si>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</si>
  <si>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</si>
  <si>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</si>
  <si>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</si>
  <si>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</si>
  <si>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</si>
  <si>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</si>
  <si>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</si>
  <si>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</si>
  <si>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</si>
  <si>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</si>
  <si>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</si>
  <si>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</si>
  <si>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</si>
  <si>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</si>
  <si>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</si>
  <si>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</si>
  <si>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</si>
  <si>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</si>
  <si>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</si>
  <si>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</si>
  <si>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</si>
  <si>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</si>
  <si>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</si>
  <si>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</si>
  <si>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</si>
  <si>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</si>
  <si>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</si>
  <si>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</si>
  <si>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</si>
  <si>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</si>
  <si>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</si>
  <si>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</si>
  <si>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</si>
  <si>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</si>
  <si>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</si>
  <si>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</si>
  <si>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</si>
  <si>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</si>
  <si>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</si>
  <si>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</si>
  <si>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</si>
  <si>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</si>
  <si>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</si>
  <si>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</si>
  <si>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</si>
  <si>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</si>
  <si>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</si>
  <si>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</si>
  <si>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</si>
  <si>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</si>
  <si>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</si>
  <si>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</si>
  <si>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</si>
  <si>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</si>
  <si>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</si>
  <si>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</si>
  <si>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</si>
  <si>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</si>
  <si>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</si>
  <si>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</si>
  <si>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</si>
  <si>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</si>
  <si>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</si>
  <si>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</si>
  <si>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</si>
  <si>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</si>
  <si>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</si>
  <si>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</si>
  <si>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</si>
  <si>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</si>
  <si>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</si>
  <si>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</si>
  <si>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</si>
  <si>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</si>
  <si>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</si>
  <si>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</si>
  <si>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</si>
  <si>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</si>
  <si>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</si>
  <si>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</si>
  <si>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</si>
  <si>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</si>
  <si>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</si>
  <si>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</si>
  <si>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</si>
  <si>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</si>
  <si>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</si>
  <si>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</si>
  <si>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</si>
  <si>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</si>
  <si>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</si>
  <si>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</si>
  <si>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</si>
  <si>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</si>
  <si>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</si>
  <si>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</si>
  <si>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</si>
  <si>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</si>
  <si>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</si>
  <si>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</si>
  <si>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</si>
  <si>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</si>
  <si>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</si>
  <si>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</si>
  <si>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</si>
  <si>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</si>
  <si>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</si>
  <si>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</si>
  <si>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</si>
  <si>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</si>
  <si>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</si>
  <si>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</si>
  <si>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</si>
  <si>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</si>
  <si>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</si>
  <si>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</si>
  <si>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</si>
  <si>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</si>
  <si>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</si>
  <si>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</si>
  <si>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</si>
  <si>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</si>
  <si>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</si>
  <si>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</si>
  <si>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</si>
  <si>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</si>
  <si>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</si>
  <si>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</si>
  <si>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</si>
  <si>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</si>
  <si>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</si>
  <si>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</si>
  <si>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</si>
  <si>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</si>
  <si>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</si>
  <si>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</si>
  <si>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</si>
  <si>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</si>
  <si>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</si>
  <si>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</si>
  <si>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</si>
  <si>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</si>
  <si>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</si>
  <si>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</si>
  <si>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</si>
  <si>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</si>
  <si>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</si>
  <si>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</si>
  <si>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</si>
  <si>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</si>
  <si>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</si>
  <si>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</si>
  <si>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</si>
  <si>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</si>
  <si>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</si>
  <si>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</si>
  <si>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</si>
  <si>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</si>
  <si>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</si>
  <si>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</si>
  <si>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</si>
  <si>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</si>
  <si>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</si>
  <si>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</si>
  <si>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</si>
  <si>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</si>
  <si>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</si>
  <si>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</si>
  <si>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</si>
  <si>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</si>
  <si>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</si>
  <si>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</si>
  <si>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</si>
  <si>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</si>
  <si>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</si>
  <si>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</si>
  <si>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</si>
  <si>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</si>
  <si>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</si>
  <si>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</si>
  <si>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</si>
  <si>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</si>
  <si>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</si>
  <si>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</si>
  <si>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</si>
  <si>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</si>
  <si>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</si>
  <si>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</si>
  <si>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</si>
  <si>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</si>
  <si>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</si>
  <si>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</si>
  <si>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</si>
  <si>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</si>
  <si>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</si>
  <si>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</si>
  <si>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</si>
  <si>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</si>
  <si>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</si>
  <si>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</si>
  <si>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</si>
  <si>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</si>
  <si>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</si>
  <si>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</si>
  <si>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</si>
  <si>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</si>
  <si>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</si>
  <si>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</si>
  <si>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</si>
  <si>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</si>
  <si>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</si>
  <si>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</si>
  <si>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</si>
  <si>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</si>
  <si>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</si>
  <si>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</si>
  <si>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</si>
  <si>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</si>
  <si>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</si>
  <si>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</si>
  <si>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</si>
  <si>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</si>
  <si>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</si>
  <si>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</si>
  <si>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</si>
  <si>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</si>
  <si>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</si>
  <si>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</si>
  <si>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</si>
  <si>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</si>
  <si>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</si>
  <si>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</si>
  <si>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</si>
  <si>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</si>
  <si>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</si>
  <si>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</si>
  <si>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</si>
  <si>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</si>
  <si>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</si>
  <si>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</si>
  <si>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</si>
  <si>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</si>
  <si>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</si>
  <si>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</si>
  <si>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</si>
  <si>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</si>
  <si>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</si>
  <si>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</si>
  <si>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</si>
  <si>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</si>
  <si>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</si>
  <si>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</si>
  <si>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</si>
  <si>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</si>
  <si>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</si>
  <si>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</si>
  <si>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</si>
  <si>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</si>
  <si>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</si>
  <si>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</si>
  <si>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</si>
  <si>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</si>
  <si>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</si>
  <si>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</si>
  <si>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</si>
  <si>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</si>
  <si>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</si>
  <si>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</si>
  <si>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</si>
  <si>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</si>
  <si>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</si>
  <si>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</si>
  <si>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</si>
  <si>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</si>
  <si>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</si>
  <si>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</si>
  <si>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</si>
  <si>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</si>
  <si>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</si>
  <si>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</si>
  <si>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</si>
  <si>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</si>
  <si>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</si>
  <si>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</si>
  <si>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</si>
  <si>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</si>
  <si>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</si>
  <si>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</si>
  <si>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</si>
  <si>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</si>
  <si>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</si>
  <si>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</si>
  <si>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</si>
  <si>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</si>
  <si>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</si>
  <si>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</si>
  <si>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</si>
  <si>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</si>
  <si>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</si>
  <si>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</si>
  <si>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</si>
  <si>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</si>
  <si>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</si>
  <si>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</si>
  <si>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</si>
  <si>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</si>
  <si>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</si>
  <si>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</si>
  <si>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</si>
  <si>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</si>
  <si>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</si>
  <si>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</si>
  <si>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</si>
  <si>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</si>
  <si>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</si>
  <si>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</si>
  <si>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</si>
  <si>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</si>
  <si>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</si>
  <si>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</si>
  <si>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</si>
  <si>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</si>
  <si>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</si>
  <si>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</si>
  <si>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</si>
  <si>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</si>
  <si>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</si>
  <si>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</si>
  <si>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</si>
  <si>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</si>
  <si>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</si>
  <si>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</si>
  <si>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</si>
  <si>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</si>
  <si>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</si>
  <si>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</si>
  <si>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</si>
  <si>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</si>
  <si>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</si>
  <si>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</si>
  <si>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</si>
  <si>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</si>
  <si>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</si>
  <si>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</si>
  <si>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</si>
  <si>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</si>
  <si>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</si>
  <si>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</si>
  <si>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</si>
  <si>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</si>
  <si>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</si>
  <si>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</si>
  <si>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</si>
  <si>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</si>
  <si>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</si>
  <si>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</si>
  <si>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</si>
  <si>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</si>
  <si>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</si>
  <si>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</si>
  <si>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</si>
  <si>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</si>
  <si>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</si>
  <si>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</si>
  <si>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</si>
  <si>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</si>
  <si>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</si>
  <si>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</si>
  <si>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</si>
  <si>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</si>
  <si>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</si>
  <si>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</si>
  <si>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</si>
  <si>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</si>
  <si>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</si>
  <si>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</si>
  <si>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</si>
  <si>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</si>
  <si>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</si>
  <si>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</si>
  <si>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</si>
  <si>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</si>
  <si>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</si>
  <si>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</si>
  <si>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</si>
  <si>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</si>
  <si>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</si>
  <si>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</si>
  <si>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</si>
  <si>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</si>
  <si>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</si>
  <si>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</si>
  <si>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</si>
  <si>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</si>
  <si>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</si>
  <si>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</si>
  <si>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</si>
  <si>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</si>
  <si>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</si>
  <si>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</si>
  <si>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</si>
  <si>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</si>
  <si>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</si>
  <si>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</si>
  <si>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</si>
  <si>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</si>
  <si>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</si>
  <si>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</si>
  <si>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</si>
  <si>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</si>
  <si>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</si>
  <si>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</si>
  <si>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</si>
  <si>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</si>
  <si>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</si>
  <si>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</si>
  <si>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</si>
  <si>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</si>
  <si>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</si>
  <si>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</si>
  <si>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</si>
  <si>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</si>
  <si>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</si>
  <si>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</si>
  <si>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</si>
  <si>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</si>
  <si>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</si>
  <si>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</si>
  <si>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</si>
  <si>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</si>
  <si>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</si>
  <si>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</si>
  <si>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</si>
  <si>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</si>
  <si>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</si>
  <si>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</si>
  <si>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</si>
  <si>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</si>
  <si>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</si>
  <si>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</si>
  <si>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</si>
  <si>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</si>
  <si>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</si>
  <si>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</si>
  <si>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</si>
  <si>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</si>
  <si>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</si>
  <si>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</si>
  <si>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</si>
  <si>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</si>
  <si>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</si>
  <si>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</si>
  <si>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</si>
  <si>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</si>
  <si>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</si>
  <si>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</si>
  <si>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</si>
  <si>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</si>
  <si>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</si>
  <si>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</si>
  <si>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</si>
  <si>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</si>
  <si>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</si>
  <si>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</si>
  <si>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</si>
  <si>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</si>
  <si>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</si>
  <si>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</si>
  <si>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</si>
  <si>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</si>
  <si>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</si>
  <si>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</si>
  <si>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</si>
  <si>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</si>
  <si>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</si>
  <si>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</si>
  <si>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</si>
  <si>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</si>
  <si>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</si>
  <si>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</si>
  <si>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</si>
  <si>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</si>
  <si>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</si>
  <si>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</si>
  <si>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</si>
  <si>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</si>
  <si>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</si>
  <si>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</si>
  <si>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</si>
  <si>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</si>
  <si>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</si>
  <si>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</si>
  <si>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</si>
  <si>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</si>
  <si>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</si>
  <si>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</si>
  <si>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</si>
  <si>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</si>
  <si>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</si>
  <si>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</si>
  <si>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</si>
  <si>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</si>
  <si>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</si>
  <si>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</si>
  <si>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</si>
  <si>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</si>
  <si>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</si>
  <si>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</si>
  <si>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</si>
  <si>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</si>
  <si>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</si>
  <si>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</si>
  <si>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</si>
  <si>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</si>
  <si>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</si>
  <si>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</si>
  <si>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</si>
  <si>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</si>
  <si>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</si>
  <si>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</si>
  <si>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</si>
  <si>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</si>
  <si>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</si>
  <si>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</si>
  <si>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</si>
  <si>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</si>
  <si>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</si>
  <si>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</si>
  <si>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</si>
  <si>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</si>
  <si>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</si>
  <si>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</si>
  <si>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</si>
  <si>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</si>
  <si>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</si>
  <si>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</si>
  <si>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</si>
  <si>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</si>
  <si>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</si>
  <si>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</si>
  <si>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</si>
  <si>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</si>
  <si>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</si>
  <si>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</si>
  <si>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</si>
  <si>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</si>
  <si>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</si>
  <si>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</si>
  <si>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</si>
  <si>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</si>
  <si>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</si>
  <si>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</si>
  <si>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</si>
  <si>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</si>
  <si>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</si>
  <si>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</si>
  <si>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</si>
  <si>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</si>
  <si>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</si>
  <si>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</si>
  <si>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</si>
  <si>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</si>
  <si>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</si>
  <si>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</si>
  <si>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</si>
  <si>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</si>
  <si>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</si>
  <si>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</si>
  <si>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</si>
  <si>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</si>
  <si>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</si>
  <si>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</si>
  <si>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</si>
  <si>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</si>
  <si>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</si>
  <si>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</si>
  <si>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</si>
  <si>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</si>
  <si>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</si>
  <si>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</si>
  <si>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</si>
  <si>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</si>
  <si>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</si>
  <si>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</si>
  <si>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</si>
  <si>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</si>
  <si>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</si>
  <si>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</si>
  <si>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</si>
  <si>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</si>
  <si>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</si>
  <si>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</si>
  <si>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</si>
  <si>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</si>
  <si>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</si>
  <si>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</si>
  <si>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</si>
  <si>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</si>
  <si>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</si>
  <si>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</si>
  <si>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</si>
  <si>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</si>
  <si>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</si>
  <si>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</si>
  <si>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</si>
  <si>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</si>
  <si>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</si>
  <si>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</si>
  <si>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</si>
  <si>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</si>
  <si>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</si>
  <si>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</si>
  <si>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</si>
  <si>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</si>
  <si>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</si>
  <si>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</si>
  <si>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</si>
  <si>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</si>
  <si>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</si>
  <si>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</si>
  <si>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</si>
  <si>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</si>
  <si>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</si>
  <si>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</si>
  <si>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</si>
  <si>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</si>
  <si>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</si>
  <si>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</si>
  <si>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</si>
  <si>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</si>
  <si>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</si>
  <si>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</si>
  <si>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</si>
  <si>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</si>
  <si>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</si>
  <si>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</si>
  <si>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</si>
  <si>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</si>
  <si>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</si>
  <si>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</si>
  <si>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</si>
  <si>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</si>
  <si>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</si>
  <si>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</si>
  <si>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</si>
  <si>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</si>
  <si>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</si>
  <si>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</si>
  <si>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</si>
  <si>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</si>
  <si>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</si>
  <si>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</si>
  <si>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</si>
  <si>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</si>
  <si>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</si>
  <si>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</si>
  <si>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</si>
  <si>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</si>
  <si>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</si>
  <si>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</si>
  <si>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</si>
  <si>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</si>
  <si>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</si>
  <si>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</si>
  <si>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</si>
  <si>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</si>
  <si>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</si>
  <si>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</si>
  <si>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</si>
  <si>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</si>
  <si>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</si>
  <si>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</si>
  <si>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</si>
  <si>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</si>
  <si>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</si>
  <si>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</si>
  <si>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</si>
  <si>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</si>
  <si>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</si>
  <si>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</si>
  <si>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</si>
  <si>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</si>
  <si>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</si>
  <si>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</si>
  <si>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</si>
  <si>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</si>
  <si>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</si>
  <si>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</si>
  <si>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</si>
  <si>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</si>
  <si>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</si>
  <si>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</si>
  <si>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</si>
  <si>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</si>
  <si>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</si>
  <si>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</si>
  <si>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</si>
  <si>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</si>
  <si>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</si>
  <si>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</si>
  <si>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</si>
  <si>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</si>
  <si>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</si>
  <si>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</si>
  <si>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</si>
  <si>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</si>
  <si>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</si>
  <si>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</si>
  <si>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</si>
  <si>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</si>
  <si>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</si>
  <si>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</si>
  <si>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</si>
  <si>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</si>
  <si>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</si>
  <si>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</si>
  <si>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</si>
  <si>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</si>
  <si>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</si>
  <si>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</si>
  <si>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</si>
  <si>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</si>
  <si>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</si>
  <si>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</si>
  <si>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</si>
  <si>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</si>
  <si>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</si>
  <si>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</si>
  <si>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</si>
  <si>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</si>
  <si>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</si>
  <si>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</si>
  <si>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</si>
  <si>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</si>
  <si>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</si>
  <si>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</si>
  <si>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</si>
  <si>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</si>
  <si>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</si>
  <si>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</si>
  <si>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</si>
  <si>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</si>
  <si>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</si>
  <si>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</si>
  <si>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</si>
  <si>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</si>
  <si>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</si>
  <si>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</si>
  <si>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</si>
  <si>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</si>
  <si>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</si>
  <si>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</si>
  <si>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</si>
  <si>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</si>
  <si>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</si>
  <si>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</si>
  <si>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</si>
  <si>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</si>
  <si>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</si>
  <si>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</si>
  <si>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</si>
  <si>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</si>
  <si>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</si>
  <si>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</si>
  <si>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</si>
  <si>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</si>
  <si>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</si>
  <si>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</si>
  <si>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</si>
  <si>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</si>
  <si>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</si>
  <si>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</si>
  <si>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</si>
  <si>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</si>
  <si>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</si>
  <si>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</si>
  <si>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</si>
  <si>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</si>
  <si>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</si>
  <si>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</si>
  <si>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</si>
  <si>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</si>
  <si>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</si>
  <si>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商业</t>
  </si>
  <si>
    <t>地下室</t>
    <phoneticPr fontId="228" type="noConversion"/>
  </si>
  <si>
    <t>11#</t>
    <phoneticPr fontId="228" type="noConversion"/>
  </si>
  <si>
    <t>10#</t>
    <phoneticPr fontId="228" type="noConversion"/>
  </si>
  <si>
    <t>9#</t>
    <phoneticPr fontId="228" type="noConversion"/>
  </si>
  <si>
    <t>8#</t>
  </si>
  <si>
    <t>7#</t>
  </si>
  <si>
    <t>6#</t>
  </si>
  <si>
    <t>32层</t>
    <phoneticPr fontId="228" type="noConversion"/>
  </si>
  <si>
    <t>已打桩，正在出土方</t>
    <phoneticPr fontId="228" type="noConversion"/>
  </si>
  <si>
    <t>5#</t>
  </si>
  <si>
    <t>4#</t>
  </si>
  <si>
    <t>3#</t>
  </si>
  <si>
    <t>2#</t>
    <phoneticPr fontId="228" type="noConversion"/>
  </si>
  <si>
    <t>1#</t>
    <phoneticPr fontId="228" type="noConversion"/>
  </si>
  <si>
    <t>C区</t>
    <phoneticPr fontId="228" type="noConversion"/>
  </si>
  <si>
    <t>三期</t>
    <phoneticPr fontId="228" type="noConversion"/>
  </si>
  <si>
    <t>地面二层</t>
    <phoneticPr fontId="228" type="noConversion"/>
  </si>
  <si>
    <t>二期</t>
    <phoneticPr fontId="228" type="noConversion"/>
  </si>
  <si>
    <t>已封顶</t>
    <phoneticPr fontId="228" type="noConversion"/>
  </si>
  <si>
    <t>2#</t>
  </si>
  <si>
    <t>B区</t>
    <phoneticPr fontId="228" type="noConversion"/>
  </si>
  <si>
    <t>一期</t>
    <phoneticPr fontId="228" type="noConversion"/>
  </si>
  <si>
    <t>地下</t>
    <phoneticPr fontId="228" type="noConversion"/>
  </si>
  <si>
    <t>计容</t>
    <phoneticPr fontId="228" type="noConversion"/>
  </si>
  <si>
    <t>面积</t>
    <phoneticPr fontId="228" type="noConversion"/>
  </si>
  <si>
    <t>楼号</t>
    <phoneticPr fontId="228" type="noConversion"/>
  </si>
  <si>
    <t>A区</t>
    <phoneticPr fontId="228" type="noConversion"/>
  </si>
  <si>
    <t>工程进度</t>
    <phoneticPr fontId="228" type="noConversion"/>
  </si>
  <si>
    <t>货值</t>
    <phoneticPr fontId="228" type="noConversion"/>
  </si>
  <si>
    <t>面积</t>
    <phoneticPr fontId="228" type="noConversion"/>
  </si>
  <si>
    <t>楼栋号</t>
    <phoneticPr fontId="228" type="noConversion"/>
  </si>
  <si>
    <t>D区</t>
    <phoneticPr fontId="228" type="noConversion"/>
  </si>
  <si>
    <t>地上</t>
  </si>
  <si>
    <t>公寓</t>
  </si>
  <si>
    <t>商业</t>
    <phoneticPr fontId="7" type="noConversion"/>
  </si>
  <si>
    <t>地块名称</t>
  </si>
  <si>
    <t>城市</t>
  </si>
  <si>
    <t>用地性质</t>
  </si>
  <si>
    <t>建设用地面积(㎡)</t>
  </si>
  <si>
    <t>规划建筑面积(㎡)</t>
  </si>
  <si>
    <t>出让方式</t>
  </si>
  <si>
    <t>详细规划</t>
  </si>
  <si>
    <t>成交日期</t>
  </si>
  <si>
    <t>成交价(万元)</t>
  </si>
  <si>
    <t>成交楼面价(元/㎡)</t>
  </si>
  <si>
    <t>溢价率</t>
  </si>
  <si>
    <t>受让单位</t>
  </si>
  <si>
    <t>佛山市高明区明城镇明富路以东、仙峰路以南国有建设用地</t>
  </si>
  <si>
    <t>佛山市</t>
  </si>
  <si>
    <t>商业/办公用地</t>
  </si>
  <si>
    <t>≤2.0</t>
  </si>
  <si>
    <t>挂牌</t>
  </si>
  <si>
    <t>商服用地</t>
  </si>
  <si>
    <t>佛山市高明区置丰...</t>
  </si>
  <si>
    <t>佛山市高明区西江新城荷富路以东、明湖北路以北</t>
  </si>
  <si>
    <t>佛山市高明区树头...</t>
  </si>
  <si>
    <t>佛山市高明区杨和镇滨河三路以东、兴国路以南</t>
  </si>
  <si>
    <t>≤0.8</t>
  </si>
  <si>
    <t>其他商服用地</t>
  </si>
  <si>
    <t>佛山市高明建设投...</t>
  </si>
  <si>
    <t>佛山市高明区更合镇经一路以东、合和大道以南</t>
  </si>
  <si>
    <t>容积率≤2....</t>
  </si>
  <si>
    <t>佛山市高明区合建...</t>
  </si>
  <si>
    <t>≤2.5</t>
  </si>
  <si>
    <t>佛山市高明区禾亿...</t>
  </si>
  <si>
    <t>佛山市高明区西江新城苏河路以东、明湖北路以北</t>
  </si>
  <si>
    <t>≤3.0</t>
  </si>
  <si>
    <t>佛山市高明西江新...</t>
  </si>
  <si>
    <t>佛山市高明区西江新城苏河路以东、滨湖路以南</t>
  </si>
  <si>
    <t>吴铭棠</t>
  </si>
  <si>
    <t>≤4.0</t>
  </si>
  <si>
    <t>商服用地(商业用...</t>
  </si>
  <si>
    <t>佛山市高明区杨和镇杨西大道以东、高明大道以南</t>
  </si>
  <si>
    <t>容积率≤1....</t>
  </si>
  <si>
    <t>批发零售用地(加...</t>
  </si>
  <si>
    <t>佛山市高明区和润...</t>
  </si>
  <si>
    <t>佛山市高明区荷城街道纵二路以西、丽江路以北</t>
  </si>
  <si>
    <t>商服用地(其他商...</t>
  </si>
  <si>
    <t>佛山市高明区荷城街道丽馥路以南、纵二路以西</t>
  </si>
  <si>
    <t>佛山市高明区荷城街道荷富路以西、高富路以北(GM-F-02-02-04-03</t>
  </si>
  <si>
    <t>容积率≤3....</t>
  </si>
  <si>
    <t>佛山市高明区荷城...</t>
  </si>
  <si>
    <t>佛山市高明区西江新城荷富路以东、丽景东路以南</t>
  </si>
  <si>
    <t>容积率≤4....</t>
  </si>
  <si>
    <t>佛山市高明区更合镇古城路以东、环西路以南</t>
  </si>
  <si>
    <t>佛山市高明区荷城街道荷富路以东GM-F-02-01-03A-02</t>
  </si>
  <si>
    <r>
      <t xml:space="preserve"> 1.0</t>
    </r>
    <r>
      <rPr>
        <sz val="11"/>
        <color theme="1"/>
        <rFont val="宋体"/>
        <family val="3"/>
        <charset val="134"/>
      </rPr>
      <t>＜容积率≤</t>
    </r>
    <r>
      <rPr>
        <sz val="11"/>
        <color theme="1"/>
        <rFont val="Verdana"/>
        <family val="2"/>
      </rPr>
      <t>4.0</t>
    </r>
    <phoneticPr fontId="228" type="noConversion"/>
  </si>
  <si>
    <r>
      <rPr>
        <sz val="11"/>
        <color theme="1"/>
        <rFont val="宋体"/>
        <family val="3"/>
        <charset val="134"/>
      </rPr>
      <t>容积率≤</t>
    </r>
    <r>
      <rPr>
        <sz val="11"/>
        <color theme="1"/>
        <rFont val="Verdana"/>
        <family val="2"/>
      </rPr>
      <t>2.5</t>
    </r>
    <phoneticPr fontId="228" type="noConversion"/>
  </si>
  <si>
    <t>楼面地价</t>
  </si>
  <si>
    <t>剩余法-待开发</t>
  </si>
  <si>
    <t>比较法-住宅、综合</t>
  </si>
  <si>
    <t>2017-2</t>
    <phoneticPr fontId="26" type="noConversion"/>
  </si>
  <si>
    <t>2017-1</t>
    <phoneticPr fontId="26" type="noConversion"/>
  </si>
  <si>
    <t>用地面积</t>
    <phoneticPr fontId="228" type="noConversion"/>
  </si>
  <si>
    <t>高层办公</t>
  </si>
  <si>
    <t>高层办公</t>
    <phoneticPr fontId="228" type="noConversion"/>
  </si>
  <si>
    <t>销售公寓</t>
  </si>
  <si>
    <t>销售公寓</t>
    <phoneticPr fontId="228" type="noConversion"/>
  </si>
  <si>
    <t>合院办公</t>
  </si>
  <si>
    <t>合院办公</t>
    <phoneticPr fontId="228" type="noConversion"/>
  </si>
  <si>
    <t>商业配套</t>
  </si>
  <si>
    <t>商业配套</t>
    <phoneticPr fontId="228" type="noConversion"/>
  </si>
  <si>
    <t>车位</t>
  </si>
  <si>
    <t>车位</t>
    <phoneticPr fontId="228" type="noConversion"/>
  </si>
  <si>
    <t>自持办公</t>
  </si>
  <si>
    <t>自持办公</t>
    <phoneticPr fontId="228" type="noConversion"/>
  </si>
  <si>
    <t>产业独栋</t>
  </si>
  <si>
    <t>产业独栋</t>
    <phoneticPr fontId="228" type="noConversion"/>
  </si>
  <si>
    <t>展示中心</t>
  </si>
  <si>
    <t>展示中心</t>
    <phoneticPr fontId="228" type="noConversion"/>
  </si>
  <si>
    <t>人才公寓</t>
  </si>
  <si>
    <t>人才公寓</t>
    <phoneticPr fontId="228" type="noConversion"/>
  </si>
  <si>
    <t>商墅</t>
  </si>
  <si>
    <t>商墅</t>
    <phoneticPr fontId="228" type="noConversion"/>
  </si>
  <si>
    <t>用地</t>
    <phoneticPr fontId="228" type="noConversion"/>
  </si>
  <si>
    <t>自持办公</t>
    <phoneticPr fontId="14" type="noConversion"/>
  </si>
  <si>
    <t>产业独栋</t>
    <phoneticPr fontId="14" type="noConversion"/>
  </si>
  <si>
    <t>展示中心</t>
    <phoneticPr fontId="14" type="noConversion"/>
  </si>
  <si>
    <t>高层办公</t>
    <phoneticPr fontId="14" type="noConversion"/>
  </si>
  <si>
    <t>销售公寓</t>
    <phoneticPr fontId="14" type="noConversion"/>
  </si>
  <si>
    <t>人才公寓</t>
    <phoneticPr fontId="14" type="noConversion"/>
  </si>
  <si>
    <t>合院办公</t>
    <phoneticPr fontId="14" type="noConversion"/>
  </si>
  <si>
    <t>商墅</t>
    <phoneticPr fontId="14" type="noConversion"/>
  </si>
  <si>
    <t>商业配套</t>
    <phoneticPr fontId="14" type="noConversion"/>
  </si>
  <si>
    <t>地下</t>
  </si>
  <si>
    <t>车库</t>
  </si>
  <si>
    <t>办公</t>
    <phoneticPr fontId="7" type="noConversion"/>
  </si>
  <si>
    <t>公寓</t>
    <phoneticPr fontId="7" type="noConversion"/>
  </si>
  <si>
    <t>不动产收益法</t>
  </si>
  <si>
    <t>押一</t>
  </si>
  <si>
    <t>按租金收入计税</t>
  </si>
  <si>
    <t>钢混</t>
  </si>
  <si>
    <t>土地（套用方法）</t>
  </si>
  <si>
    <t>合院、商墅</t>
  </si>
  <si>
    <t>合院、商墅</t>
    <phoneticPr fontId="7" type="noConversion"/>
  </si>
  <si>
    <t>车位</t>
    <phoneticPr fontId="7" type="noConversion"/>
  </si>
  <si>
    <r>
      <rPr>
        <sz val="11"/>
        <color theme="1"/>
        <rFont val="宋体"/>
        <family val="3"/>
        <charset val="134"/>
      </rPr>
      <t>不动产收益法</t>
    </r>
    <r>
      <rPr>
        <sz val="11"/>
        <color theme="1"/>
        <rFont val="Arial"/>
        <family val="2"/>
      </rPr>
      <t xml:space="preserve"> (2)</t>
    </r>
    <phoneticPr fontId="14" type="noConversion"/>
  </si>
  <si>
    <t>不动产收益法 (2)</t>
  </si>
  <si>
    <t>自持办公</t>
    <phoneticPr fontId="7" type="noConversion"/>
  </si>
</sst>
</file>

<file path=xl/styles.xml><?xml version="1.0" encoding="utf-8"?>
<styleSheet xmlns="http://schemas.openxmlformats.org/spreadsheetml/2006/main">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rgb="FFFF0000"/>
      <name val="宋体"/>
      <family val="2"/>
      <scheme val="minor"/>
    </font>
    <font>
      <b/>
      <sz val="11"/>
      <color rgb="FF444444"/>
      <name val="Verdana"/>
      <family val="2"/>
    </font>
    <font>
      <b/>
      <sz val="11"/>
      <color rgb="FFEB3D3E"/>
      <name val="Verdana"/>
      <family val="2"/>
    </font>
    <font>
      <sz val="11"/>
      <color theme="1"/>
      <name val="Verdana"/>
      <family val="2"/>
    </font>
    <font>
      <u/>
      <sz val="11"/>
      <color theme="10"/>
      <name val="宋体"/>
      <family val="3"/>
      <charset val="134"/>
    </font>
    <font>
      <u/>
      <sz val="11"/>
      <color rgb="FFFF0000"/>
      <name val="宋体"/>
      <family val="3"/>
      <charset val="134"/>
    </font>
    <font>
      <sz val="11"/>
      <color rgb="FFFF0000"/>
      <name val="Verdan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D6D6D6"/>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56" fillId="0" borderId="0" applyFont="0" applyFill="0" applyBorder="0" applyAlignment="0" applyProtection="0">
      <alignment vertical="center"/>
    </xf>
    <xf numFmtId="0" fontId="279" fillId="0" borderId="0" applyNumberFormat="0" applyFill="0" applyBorder="0" applyAlignment="0" applyProtection="0">
      <alignment vertical="top"/>
      <protection locked="0"/>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56" fillId="0" borderId="0" xfId="14"/>
    <xf numFmtId="0" fontId="275" fillId="0" borderId="0" xfId="14" applyFont="1"/>
    <xf numFmtId="0" fontId="256" fillId="0" borderId="0" xfId="14" applyAlignment="1">
      <alignment vertical="center"/>
    </xf>
    <xf numFmtId="0" fontId="256" fillId="0" borderId="2" xfId="14" applyBorder="1" applyAlignment="1">
      <alignment vertical="center"/>
    </xf>
    <xf numFmtId="43" fontId="0" fillId="0" borderId="2" xfId="16" applyFont="1" applyBorder="1" applyAlignment="1">
      <alignment vertical="center"/>
    </xf>
    <xf numFmtId="0" fontId="256" fillId="0" borderId="2" xfId="14" applyBorder="1" applyAlignment="1">
      <alignment horizontal="center" vertical="center"/>
    </xf>
    <xf numFmtId="0" fontId="256" fillId="0" borderId="0" xfId="14" applyAlignment="1">
      <alignment horizontal="center" vertical="center"/>
    </xf>
    <xf numFmtId="195" fontId="0" fillId="0" borderId="2" xfId="16" applyNumberFormat="1" applyFont="1" applyBorder="1" applyAlignment="1">
      <alignment horizontal="center" vertical="center"/>
    </xf>
    <xf numFmtId="0" fontId="276" fillId="0" borderId="154" xfId="0" applyFont="1" applyBorder="1" applyAlignment="1">
      <alignment horizontal="center" vertical="center"/>
    </xf>
    <xf numFmtId="0" fontId="277" fillId="0" borderId="154" xfId="0" applyFont="1" applyBorder="1" applyAlignment="1">
      <alignment horizontal="center" vertical="center"/>
    </xf>
    <xf numFmtId="0" fontId="279" fillId="0" borderId="154" xfId="17" applyBorder="1" applyAlignment="1" applyProtection="1">
      <alignment horizontal="left" vertical="center"/>
    </xf>
    <xf numFmtId="0" fontId="278" fillId="0" borderId="154" xfId="0" applyFont="1" applyBorder="1" applyAlignment="1">
      <alignment horizontal="left" vertical="center"/>
    </xf>
    <xf numFmtId="0" fontId="278" fillId="0" borderId="154" xfId="0" applyFont="1" applyBorder="1" applyAlignment="1">
      <alignment horizontal="right" vertical="center"/>
    </xf>
    <xf numFmtId="14" fontId="278" fillId="0" borderId="154" xfId="0" applyNumberFormat="1" applyFont="1" applyBorder="1" applyAlignment="1">
      <alignment horizontal="left" vertical="center"/>
    </xf>
    <xf numFmtId="0" fontId="280" fillId="0" borderId="154" xfId="17" applyFont="1" applyBorder="1" applyAlignment="1" applyProtection="1">
      <alignment horizontal="left" vertical="center"/>
    </xf>
    <xf numFmtId="0" fontId="281" fillId="0" borderId="154" xfId="0" applyFont="1" applyBorder="1" applyAlignment="1">
      <alignment horizontal="left" vertical="center"/>
    </xf>
    <xf numFmtId="0" fontId="281" fillId="0" borderId="154" xfId="0" applyFont="1" applyBorder="1" applyAlignment="1">
      <alignment horizontal="right" vertical="center"/>
    </xf>
    <xf numFmtId="14" fontId="281" fillId="0" borderId="154" xfId="0" applyNumberFormat="1" applyFont="1" applyBorder="1" applyAlignment="1">
      <alignment horizontal="left" vertical="center"/>
    </xf>
    <xf numFmtId="0" fontId="147" fillId="0" borderId="0" xfId="0" applyFont="1">
      <alignment vertical="center"/>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56" fillId="0" borderId="2" xfId="14"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 name="千位分隔 2" xfId="16"/>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952500</xdr:colOff>
      <xdr:row>0</xdr:row>
      <xdr:rowOff>161925</xdr:rowOff>
    </xdr:from>
    <xdr:to>
      <xdr:col>9</xdr:col>
      <xdr:colOff>152400</xdr:colOff>
      <xdr:row>8</xdr:row>
      <xdr:rowOff>66675</xdr:rowOff>
    </xdr:to>
    <xdr:pic>
      <xdr:nvPicPr>
        <xdr:cNvPr id="55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505200" y="161925"/>
          <a:ext cx="3314700" cy="2466975"/>
        </a:xfrm>
        <a:prstGeom prst="rect">
          <a:avLst/>
        </a:prstGeom>
        <a:noFill/>
        <a:ln w="1">
          <a:noFill/>
          <a:miter lim="800000"/>
          <a:headEnd/>
          <a:tailEnd type="none" w="med" len="med"/>
        </a:ln>
        <a:effectLst/>
      </xdr:spPr>
    </xdr:pic>
    <xdr:clientData/>
  </xdr:twoCellAnchor>
  <xdr:twoCellAnchor editAs="oneCell">
    <xdr:from>
      <xdr:col>10</xdr:col>
      <xdr:colOff>66675</xdr:colOff>
      <xdr:row>2</xdr:row>
      <xdr:rowOff>9525</xdr:rowOff>
    </xdr:from>
    <xdr:to>
      <xdr:col>14</xdr:col>
      <xdr:colOff>533400</xdr:colOff>
      <xdr:row>12</xdr:row>
      <xdr:rowOff>228600</xdr:rowOff>
    </xdr:to>
    <xdr:pic>
      <xdr:nvPicPr>
        <xdr:cNvPr id="552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19975" y="857250"/>
          <a:ext cx="3209925" cy="3076575"/>
        </a:xfrm>
        <a:prstGeom prst="rect">
          <a:avLst/>
        </a:prstGeom>
        <a:noFill/>
        <a:ln w="1">
          <a:noFill/>
          <a:miter lim="800000"/>
          <a:headEnd/>
          <a:tailEnd type="none" w="med" len="med"/>
        </a:ln>
        <a:effectLst/>
      </xdr:spPr>
    </xdr:pic>
    <xdr:clientData/>
  </xdr:twoCellAnchor>
  <xdr:twoCellAnchor editAs="oneCell">
    <xdr:from>
      <xdr:col>4</xdr:col>
      <xdr:colOff>619125</xdr:colOff>
      <xdr:row>7</xdr:row>
      <xdr:rowOff>219075</xdr:rowOff>
    </xdr:from>
    <xdr:to>
      <xdr:col>8</xdr:col>
      <xdr:colOff>495300</xdr:colOff>
      <xdr:row>17</xdr:row>
      <xdr:rowOff>276225</xdr:rowOff>
    </xdr:to>
    <xdr:pic>
      <xdr:nvPicPr>
        <xdr:cNvPr id="552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171825" y="2495550"/>
          <a:ext cx="3305175" cy="2914650"/>
        </a:xfrm>
        <a:prstGeom prst="rect">
          <a:avLst/>
        </a:prstGeom>
        <a:noFill/>
        <a:ln w="1">
          <a:noFill/>
          <a:miter lim="800000"/>
          <a:headEnd/>
          <a:tailEnd type="none" w="med" len="med"/>
        </a:ln>
        <a:effectLst/>
      </xdr:spPr>
    </xdr:pic>
    <xdr:clientData/>
  </xdr:twoCellAnchor>
  <xdr:twoCellAnchor editAs="oneCell">
    <xdr:from>
      <xdr:col>4</xdr:col>
      <xdr:colOff>752475</xdr:colOff>
      <xdr:row>15</xdr:row>
      <xdr:rowOff>257175</xdr:rowOff>
    </xdr:from>
    <xdr:to>
      <xdr:col>8</xdr:col>
      <xdr:colOff>647700</xdr:colOff>
      <xdr:row>28</xdr:row>
      <xdr:rowOff>123825</xdr:rowOff>
    </xdr:to>
    <xdr:pic>
      <xdr:nvPicPr>
        <xdr:cNvPr id="5530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3305175" y="4819650"/>
          <a:ext cx="3324225" cy="28860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666750</xdr:colOff>
      <xdr:row>17</xdr:row>
      <xdr:rowOff>57150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24750" cy="2971800"/>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10</xdr:col>
      <xdr:colOff>590550</xdr:colOff>
      <xdr:row>29</xdr:row>
      <xdr:rowOff>38100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971800"/>
          <a:ext cx="7448550" cy="2038350"/>
        </a:xfrm>
        <a:prstGeom prst="rect">
          <a:avLst/>
        </a:prstGeom>
        <a:noFill/>
        <a:ln w="1">
          <a:noFill/>
          <a:miter lim="800000"/>
          <a:headEnd/>
          <a:tailEnd type="none" w="med" len="med"/>
        </a:ln>
        <a:effectLst/>
      </xdr:spPr>
    </xdr:pic>
    <xdr:clientData/>
  </xdr:twoCellAnchor>
  <xdr:twoCellAnchor editAs="oneCell">
    <xdr:from>
      <xdr:col>10</xdr:col>
      <xdr:colOff>628650</xdr:colOff>
      <xdr:row>0</xdr:row>
      <xdr:rowOff>0</xdr:rowOff>
    </xdr:from>
    <xdr:to>
      <xdr:col>21</xdr:col>
      <xdr:colOff>561975</xdr:colOff>
      <xdr:row>13</xdr:row>
      <xdr:rowOff>76200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86650" y="0"/>
          <a:ext cx="7477125" cy="2305050"/>
        </a:xfrm>
        <a:prstGeom prst="rect">
          <a:avLst/>
        </a:prstGeom>
        <a:noFill/>
        <a:ln w="1">
          <a:noFill/>
          <a:miter lim="800000"/>
          <a:headEnd/>
          <a:tailEnd type="none" w="med" len="med"/>
        </a:ln>
        <a:effectLst/>
      </xdr:spPr>
    </xdr:pic>
    <xdr:clientData/>
  </xdr:twoCellAnchor>
  <xdr:twoCellAnchor editAs="oneCell">
    <xdr:from>
      <xdr:col>10</xdr:col>
      <xdr:colOff>619125</xdr:colOff>
      <xdr:row>13</xdr:row>
      <xdr:rowOff>19050</xdr:rowOff>
    </xdr:from>
    <xdr:to>
      <xdr:col>25</xdr:col>
      <xdr:colOff>552450</xdr:colOff>
      <xdr:row>31</xdr:row>
      <xdr:rowOff>9525</xdr:rowOff>
    </xdr:to>
    <xdr:pic>
      <xdr:nvPicPr>
        <xdr:cNvPr id="57345"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477125" y="2247900"/>
          <a:ext cx="10220325" cy="307657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14</xdr:col>
      <xdr:colOff>76200</xdr:colOff>
      <xdr:row>57</xdr:row>
      <xdr:rowOff>28575</xdr:rowOff>
    </xdr:to>
    <xdr:pic>
      <xdr:nvPicPr>
        <xdr:cNvPr id="5734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4972050"/>
          <a:ext cx="9677400" cy="4829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8" Type="http://schemas.openxmlformats.org/officeDocument/2006/relationships/hyperlink" Target="https://creis.fang.com/land/Tyc/Index/?sParcelID=d8720589-9d47-426b-bc6a-19782ca8fc36" TargetMode="External"/><Relationship Id="rId13" Type="http://schemas.openxmlformats.org/officeDocument/2006/relationships/hyperlink" Target="https://creis.fang.com/land/Detail?sParceliD=cb83e24f-86c6-47c1-a4df-08c35b056d52" TargetMode="External"/><Relationship Id="rId18" Type="http://schemas.openxmlformats.org/officeDocument/2006/relationships/hyperlink" Target="https://creis.fang.com/land/Detail?sParceliD=0f5519b3-5c79-4560-b980-77a0ee03fbab" TargetMode="External"/><Relationship Id="rId26" Type="http://schemas.openxmlformats.org/officeDocument/2006/relationships/hyperlink" Target="https://creis.fang.com/land/Detail?sParceliD=1830a81e-e3df-46a1-a93b-583820ed2364" TargetMode="External"/><Relationship Id="rId3" Type="http://schemas.openxmlformats.org/officeDocument/2006/relationships/hyperlink" Target="https://creis.fang.com/land/Detail?sParceliD=88bb77a4-bdaa-4e53-850f-3fd7439eb5e1" TargetMode="External"/><Relationship Id="rId21" Type="http://schemas.openxmlformats.org/officeDocument/2006/relationships/hyperlink" Target="https://creis.fang.com/land/Tyc/Index/?sParcelID=e735403b-6373-44cf-aec3-906a923197b2" TargetMode="External"/><Relationship Id="rId7" Type="http://schemas.openxmlformats.org/officeDocument/2006/relationships/hyperlink" Target="https://creis.fang.com/land/Detail?sParceliD=d8720589-9d47-426b-bc6a-19782ca8fc36" TargetMode="External"/><Relationship Id="rId12" Type="http://schemas.openxmlformats.org/officeDocument/2006/relationships/hyperlink" Target="https://creis.fang.com/land/Tyc/Index/?sParcelID=73431f74-7354-4650-a5c1-25ee13008fe7" TargetMode="External"/><Relationship Id="rId17" Type="http://schemas.openxmlformats.org/officeDocument/2006/relationships/hyperlink" Target="https://creis.fang.com/land/Tyc/Index/?sParcelID=c55cce60-2b49-432d-86c3-f4b9e070d678" TargetMode="External"/><Relationship Id="rId25" Type="http://schemas.openxmlformats.org/officeDocument/2006/relationships/hyperlink" Target="https://creis.fang.com/land/Tyc/Index/?sParcelID=2a718cc5-fc73-488f-bc93-384b000a36c4" TargetMode="External"/><Relationship Id="rId2" Type="http://schemas.openxmlformats.org/officeDocument/2006/relationships/hyperlink" Target="https://creis.fang.com/land/Tyc/Index/?sParcelID=0352b967-cd0b-4b19-84d3-3dd1fe82697c" TargetMode="External"/><Relationship Id="rId16" Type="http://schemas.openxmlformats.org/officeDocument/2006/relationships/hyperlink" Target="https://creis.fang.com/land/Detail?sParceliD=c55cce60-2b49-432d-86c3-f4b9e070d678" TargetMode="External"/><Relationship Id="rId20" Type="http://schemas.openxmlformats.org/officeDocument/2006/relationships/hyperlink" Target="https://creis.fang.com/land/Detail?sParceliD=e735403b-6373-44cf-aec3-906a923197b2" TargetMode="External"/><Relationship Id="rId29" Type="http://schemas.openxmlformats.org/officeDocument/2006/relationships/hyperlink" Target="https://creis.fang.com/land/Tyc/Index/?sParcelID=de6da156-5d8e-49ac-8003-3589044f8017" TargetMode="External"/><Relationship Id="rId1" Type="http://schemas.openxmlformats.org/officeDocument/2006/relationships/hyperlink" Target="https://creis.fang.com/land/Detail?sParceliD=0352b967-cd0b-4b19-84d3-3dd1fe82697c" TargetMode="External"/><Relationship Id="rId6" Type="http://schemas.openxmlformats.org/officeDocument/2006/relationships/hyperlink" Target="https://creis.fang.com/land/Tyc/Index/?sParcelID=f1501779-4341-4805-8d6a-56d76faf7193" TargetMode="External"/><Relationship Id="rId11" Type="http://schemas.openxmlformats.org/officeDocument/2006/relationships/hyperlink" Target="https://creis.fang.com/land/Detail?sParceliD=73431f74-7354-4650-a5c1-25ee13008fe7" TargetMode="External"/><Relationship Id="rId24" Type="http://schemas.openxmlformats.org/officeDocument/2006/relationships/hyperlink" Target="https://creis.fang.com/land/Detail?sParceliD=2a718cc5-fc73-488f-bc93-384b000a36c4" TargetMode="External"/><Relationship Id="rId5" Type="http://schemas.openxmlformats.org/officeDocument/2006/relationships/hyperlink" Target="https://creis.fang.com/land/Detail?sParceliD=f1501779-4341-4805-8d6a-56d76faf7193" TargetMode="External"/><Relationship Id="rId15" Type="http://schemas.openxmlformats.org/officeDocument/2006/relationships/hyperlink" Target="https://creis.fang.com/land/Tyc/Index/?sParcelID=9b61583c-041a-4b80-bb27-c8135ac1ce8c" TargetMode="External"/><Relationship Id="rId23" Type="http://schemas.openxmlformats.org/officeDocument/2006/relationships/hyperlink" Target="https://creis.fang.com/land/Tyc/Index/?sParcelID=348218ae-28c1-4206-9036-6abbe2bd9c43" TargetMode="External"/><Relationship Id="rId28" Type="http://schemas.openxmlformats.org/officeDocument/2006/relationships/hyperlink" Target="https://creis.fang.com/land/Detail?sParceliD=de6da156-5d8e-49ac-8003-3589044f8017" TargetMode="External"/><Relationship Id="rId10" Type="http://schemas.openxmlformats.org/officeDocument/2006/relationships/hyperlink" Target="https://creis.fang.com/land/Tyc/Index/?sParcelID=f5823289-6f60-4586-b6c5-af5288430372" TargetMode="External"/><Relationship Id="rId19" Type="http://schemas.openxmlformats.org/officeDocument/2006/relationships/hyperlink" Target="https://creis.fang.com/land/Tyc/Index/?sParcelID=0f5519b3-5c79-4560-b980-77a0ee03fbab" TargetMode="External"/><Relationship Id="rId4" Type="http://schemas.openxmlformats.org/officeDocument/2006/relationships/hyperlink" Target="https://creis.fang.com/land/Tyc/Index/?sParcelID=88bb77a4-bdaa-4e53-850f-3fd7439eb5e1" TargetMode="External"/><Relationship Id="rId9" Type="http://schemas.openxmlformats.org/officeDocument/2006/relationships/hyperlink" Target="https://creis.fang.com/land/Detail?sParceliD=f5823289-6f60-4586-b6c5-af5288430372" TargetMode="External"/><Relationship Id="rId14" Type="http://schemas.openxmlformats.org/officeDocument/2006/relationships/hyperlink" Target="https://creis.fang.com/land/Detail?sParceliD=9b61583c-041a-4b80-bb27-c8135ac1ce8c" TargetMode="External"/><Relationship Id="rId22" Type="http://schemas.openxmlformats.org/officeDocument/2006/relationships/hyperlink" Target="https://creis.fang.com/land/Detail?sParceliD=348218ae-28c1-4206-9036-6abbe2bd9c43" TargetMode="External"/><Relationship Id="rId27" Type="http://schemas.openxmlformats.org/officeDocument/2006/relationships/hyperlink" Target="https://creis.fang.com/land/Tyc/Index/?sParcelID=1830a81e-e3df-46a1-a93b-583820ed2364"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2641</v>
      </c>
      <c r="B1" s="2845" t="s">
        <v>2738</v>
      </c>
    </row>
    <row r="2" spans="1:55" s="2849" customFormat="1" ht="15" thickTop="1">
      <c r="A2" s="2847" t="s">
        <v>2645</v>
      </c>
      <c r="B2" s="2848" t="str">
        <f>'预评函-封皮'!B37</f>
        <v>出让国有建设用地使用权预评估</v>
      </c>
      <c r="AX2" s="2850"/>
      <c r="AZ2" s="2850"/>
      <c r="BA2" s="2851"/>
      <c r="BC2" s="2851"/>
    </row>
    <row r="3" spans="1:55" s="2852" customFormat="1">
      <c r="A3" s="2831" t="s">
        <v>2646</v>
      </c>
      <c r="B3" s="2834">
        <f>'预评函-封皮'!B40</f>
        <v>0</v>
      </c>
    </row>
    <row r="4" spans="1:55" s="2833" customFormat="1">
      <c r="A4" s="2831" t="s">
        <v>2647</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2648</v>
      </c>
      <c r="B5" s="2854" t="str">
        <f>'预评函-封皮'!B49</f>
        <v>康正预评字号</v>
      </c>
    </row>
    <row r="6" spans="1:55" s="2855" customFormat="1" ht="15" thickTop="1">
      <c r="A6" s="2847" t="s">
        <v>2690</v>
      </c>
      <c r="B6" s="2848" t="str">
        <f>'预评函-1'!A4</f>
        <v>受贵公司委托，我公司对出让国有建设用地使用权进行了预评估。</v>
      </c>
      <c r="AM6" s="2856"/>
    </row>
    <row r="7" spans="1:55" s="2830" customFormat="1">
      <c r="A7" s="2831" t="s">
        <v>2642</v>
      </c>
      <c r="B7" s="2832" t="str">
        <f>'预评函-1'!A6</f>
        <v>估价对象为使用的、位于出让国有建设用地使用权。根据《国有土地使用证》[]，估价对象（分摊）出让国有建设用地使用权面积为86744.76平方米。根据《建设工程规划许可证》[]、《出让合同》[]，估价对象规划建筑面积为245924.74平方米。</v>
      </c>
    </row>
    <row r="8" spans="1:55" s="2830" customFormat="1">
      <c r="A8" s="2831" t="s">
        <v>2643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2693</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2644</v>
      </c>
      <c r="B10" s="2832" t="str">
        <f>'预评函-1'!A11</f>
        <v>2020年6月16日</v>
      </c>
    </row>
    <row r="11" spans="1:55" s="2830" customFormat="1">
      <c r="A11" s="2831" t="s">
        <v>2650</v>
      </c>
      <c r="B11" s="2832" t="str">
        <f>'预评函-1'!A14</f>
        <v>根据《国有土地使用证》[]，本次评估估价对象证载（地类）用途为。</v>
      </c>
    </row>
    <row r="12" spans="1:55" s="2830" customFormat="1">
      <c r="A12" s="2831" t="s">
        <v>2651</v>
      </c>
      <c r="B12" s="2832" t="str">
        <f>'预评函-1'!A15</f>
        <v>本次评估设定用途即为证载用途。</v>
      </c>
    </row>
    <row r="13" spans="1:55" s="2830" customFormat="1">
      <c r="A13" s="2831" t="s">
        <v>2652</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2653</v>
      </c>
      <c r="B14" s="2832" t="str">
        <f>'预评函-1'!A18</f>
        <v>。本次评估设定土地开发程度为红线外市政基础设施达“七通”、宗地红线内场地平整。</v>
      </c>
    </row>
    <row r="15" spans="1:55" s="2830" customFormat="1">
      <c r="A15" s="2831" t="s">
        <v>2649</v>
      </c>
      <c r="B15" s="2832" t="str">
        <f>'预评函-1'!A20</f>
        <v>根据《国有土地使用证》[]，估价对象（分摊）出让国有建设用地使用权面积为86744.76平方米。根据《建设工程规划许可证》[]、《出让合同》[]，估价对象规划建筑面积为245924.74平方米。</v>
      </c>
    </row>
    <row r="16" spans="1:55" s="2830" customFormat="1">
      <c r="A16" s="2831" t="s">
        <v>2654</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21日。截至估价期日，出让国有建设用地使用权剩余土地使用年限为。</v>
      </c>
    </row>
    <row r="17" spans="1:48" s="2830" customFormat="1">
      <c r="A17" s="2831" t="s">
        <v>2655</v>
      </c>
      <c r="B17" s="2832" t="str">
        <f>'预评函-1'!A23</f>
        <v>本次评估设定估价对象剩余土地使用年限为。</v>
      </c>
    </row>
    <row r="18" spans="1:48" s="2830" customFormat="1">
      <c r="A18" s="2831" t="s">
        <v>2656</v>
      </c>
      <c r="B18" s="2832" t="str">
        <f>'预评函-1'!A25</f>
        <v>本次估价的“出让国有建设用地使用权价格”是指在估价对象土地所有权为国家所有，使用权性质为出让，在公开市场条件下、于估价期日2020年6月16日，在规划利用条件下、设定土地开发程度为红线外“七通”、宗地内场地，设定用途为，剩余土地使用年限为的出让国有建设用地使用权价格。</v>
      </c>
    </row>
    <row r="19" spans="1:48" s="2830" customFormat="1">
      <c r="A19" s="2831" t="s">
        <v>2657</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2658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2659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2660</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2661</v>
      </c>
      <c r="B23" s="2832" t="str">
        <f>'预评函-2'!K2</f>
        <v>估价期日：2020年6月16日</v>
      </c>
    </row>
    <row r="24" spans="1:48">
      <c r="A24" s="2831" t="s">
        <v>2662</v>
      </c>
      <c r="B24" s="2832" t="str">
        <f>'预评函-2'!R2</f>
        <v>估价期日的国有建设用地使用权性质：出让</v>
      </c>
    </row>
    <row r="25" spans="1:48">
      <c r="A25" s="2831" t="s">
        <v>2718</v>
      </c>
      <c r="B25" s="2832" t="str">
        <f>'预评函-2'!A3</f>
        <v>估价期日土地使用者</v>
      </c>
    </row>
    <row r="26" spans="1:48">
      <c r="A26" s="2831" t="s">
        <v>2694</v>
      </c>
      <c r="B26" s="2832" t="str">
        <f>'预评函-2'!A5</f>
        <v>中信开发</v>
      </c>
    </row>
    <row r="27" spans="1:48">
      <c r="A27" s="2831" t="s">
        <v>2719</v>
      </c>
      <c r="B27" s="2832" t="str">
        <f>'预评函-2'!B3</f>
        <v>宗地编号/不动产单元号</v>
      </c>
    </row>
    <row r="28" spans="1:48">
      <c r="A28" s="2831" t="s">
        <v>2695</v>
      </c>
      <c r="B28" s="2832" t="str">
        <f>'预评函-2'!B5</f>
        <v>11111111111</v>
      </c>
    </row>
    <row r="29" spans="1:48">
      <c r="A29" s="2831" t="s">
        <v>2721</v>
      </c>
      <c r="B29" s="2832">
        <f>'预评函-2'!C5</f>
        <v>22</v>
      </c>
    </row>
    <row r="30" spans="1:48">
      <c r="A30" s="2831" t="s">
        <v>2722</v>
      </c>
      <c r="B30" s="2832" t="str">
        <f>'预评函-2'!D3</f>
        <v>土地使用证编号/不动产权证书编号</v>
      </c>
    </row>
    <row r="31" spans="1:48">
      <c r="A31" s="2831" t="s">
        <v>2696</v>
      </c>
      <c r="B31" s="2832" t="str">
        <f>'预评函-2'!D5</f>
        <v>京国土字第111号</v>
      </c>
    </row>
    <row r="32" spans="1:48">
      <c r="A32" s="2831" t="s">
        <v>2697</v>
      </c>
      <c r="B32" s="2832">
        <f>'预评函-2'!E5</f>
        <v>0</v>
      </c>
      <c r="AV32" s="2836"/>
    </row>
    <row r="33" spans="1:2">
      <c r="A33" s="2831" t="s">
        <v>2698</v>
      </c>
      <c r="B33" s="2832">
        <f>'预评函-2'!F5</f>
        <v>258</v>
      </c>
    </row>
    <row r="34" spans="1:2">
      <c r="A34" s="2831" t="s">
        <v>2699</v>
      </c>
      <c r="B34" s="2832">
        <f>'预评函-2'!G5</f>
        <v>0</v>
      </c>
    </row>
    <row r="35" spans="1:2">
      <c r="A35" s="2831" t="s">
        <v>2700</v>
      </c>
      <c r="B35" s="2832">
        <f>'预评函-2'!H5</f>
        <v>1.5</v>
      </c>
    </row>
    <row r="36" spans="1:2">
      <c r="A36" s="2831" t="s">
        <v>2701</v>
      </c>
      <c r="B36" s="2832">
        <f>'预评函-2'!I5</f>
        <v>1.5</v>
      </c>
    </row>
    <row r="37" spans="1:2">
      <c r="A37" s="2831" t="s">
        <v>2702</v>
      </c>
      <c r="B37" s="2832">
        <f>'预评函-2'!J5</f>
        <v>1.5</v>
      </c>
    </row>
    <row r="38" spans="1:2">
      <c r="A38" s="2831" t="s">
        <v>2703</v>
      </c>
      <c r="B38" s="2832" t="str">
        <f>'预评函-2'!K5</f>
        <v>红线外七通、宗地红线内</v>
      </c>
    </row>
    <row r="39" spans="1:2">
      <c r="A39" s="2831" t="s">
        <v>2704</v>
      </c>
      <c r="B39" s="2832" t="str">
        <f>'预评函-2'!L5</f>
        <v>红线外七通、宗地红线内场地</v>
      </c>
    </row>
    <row r="40" spans="1:2">
      <c r="A40" s="2831" t="s">
        <v>2723</v>
      </c>
      <c r="B40" s="2832" t="str">
        <f>'预评函-2'!M3</f>
        <v>（剩余）土地使用年限/年</v>
      </c>
    </row>
    <row r="41" spans="1:2">
      <c r="A41" s="2831" t="s">
        <v>2705</v>
      </c>
      <c r="B41" s="2832">
        <f>'预评函-2'!M5</f>
        <v>0</v>
      </c>
    </row>
    <row r="42" spans="1:2">
      <c r="A42" s="2831" t="s">
        <v>2724</v>
      </c>
      <c r="B42" s="2832" t="str">
        <f>'预评函-2'!N3</f>
        <v>（分摊）出让国有建设用地使用权面积/㎡</v>
      </c>
    </row>
    <row r="43" spans="1:2">
      <c r="A43" s="2831" t="s">
        <v>2706</v>
      </c>
      <c r="B43" s="2832">
        <f>'预评函-2'!N5</f>
        <v>86744.76</v>
      </c>
    </row>
    <row r="44" spans="1:2">
      <c r="A44" s="2831" t="s">
        <v>2725</v>
      </c>
      <c r="B44" s="2832" t="str">
        <f>'预评函-2'!O3</f>
        <v>规划建筑面积/㎡</v>
      </c>
    </row>
    <row r="45" spans="1:2">
      <c r="A45" s="2831" t="s">
        <v>2707</v>
      </c>
      <c r="B45" s="2832">
        <f>'预评函-2'!O5</f>
        <v>245924.74</v>
      </c>
    </row>
    <row r="46" spans="1:2">
      <c r="A46" s="2831" t="s">
        <v>2708</v>
      </c>
      <c r="B46" s="2832">
        <f ca="1">'预评函-2'!P5</f>
        <v>4298</v>
      </c>
    </row>
    <row r="47" spans="1:2">
      <c r="A47" s="2831" t="s">
        <v>2709</v>
      </c>
      <c r="B47" s="2832">
        <f ca="1">'预评函-2'!Q5</f>
        <v>1516</v>
      </c>
    </row>
    <row r="48" spans="1:2">
      <c r="A48" s="2831" t="s">
        <v>2710</v>
      </c>
      <c r="B48" s="2832">
        <f ca="1">'预评函-2'!R5</f>
        <v>37287</v>
      </c>
    </row>
    <row r="49" spans="1:2">
      <c r="A49" s="2831" t="s">
        <v>2726</v>
      </c>
      <c r="B49" s="2832" t="str">
        <f>'预评函-2'!A6</f>
        <v>抵押价格</v>
      </c>
    </row>
    <row r="50" spans="1:2">
      <c r="A50" s="2831" t="s">
        <v>2711</v>
      </c>
      <c r="B50" s="2832" t="str">
        <f>'预评函-2'!R6</f>
        <v>——</v>
      </c>
    </row>
    <row r="51" spans="1:2">
      <c r="A51" s="2831" t="s">
        <v>2727</v>
      </c>
      <c r="B51" s="2832" t="str">
        <f>'预评函-2'!A7</f>
        <v>——</v>
      </c>
    </row>
    <row r="52" spans="1:2">
      <c r="A52" s="2831" t="s">
        <v>2712</v>
      </c>
      <c r="B52" s="2832" t="str">
        <f>'预评函-2'!R7</f>
        <v>——</v>
      </c>
    </row>
    <row r="53" spans="1:2">
      <c r="A53" s="2831" t="s">
        <v>2728</v>
      </c>
      <c r="B53" s="2832">
        <f>'预评函-2'!A8</f>
        <v>0</v>
      </c>
    </row>
    <row r="54" spans="1:2" s="2846" customFormat="1" ht="15" thickBot="1">
      <c r="A54" s="2853" t="s">
        <v>2713</v>
      </c>
      <c r="B54" s="2854" t="str">
        <f>'预评函-2'!R8</f>
        <v>——</v>
      </c>
    </row>
    <row r="55" spans="1:2" ht="15" thickTop="1">
      <c r="A55" s="2842" t="s">
        <v>2663</v>
      </c>
      <c r="B55" s="2843" t="str">
        <f>'预评函-3'!A2</f>
        <v>1.权利限制：根据估价对象《不动产权证书》原件、《国有土地使用权》复印件，截至估价期日，估价对象抵押权未见登记。未设定租赁等其他他项权利。</v>
      </c>
    </row>
    <row r="56" spans="1:2">
      <c r="A56" s="2831" t="s">
        <v>2664</v>
      </c>
      <c r="B56" s="2832" t="str">
        <f>'预评函-3'!A3</f>
        <v>2.基础设施条件：估价对象实际开发程度为红线外七通、宗地红线内；本次评估设定开发程度为红线外七通、宗地红线内场地。</v>
      </c>
    </row>
    <row r="57" spans="1:2">
      <c r="A57" s="2831" t="s">
        <v>2665</v>
      </c>
      <c r="B57" s="2832" t="str">
        <f>'预评函-3'!A4</f>
        <v>3.估价规划限制条件：详见《建设工程规划许可证》[]、《出让合同》[]。</v>
      </c>
    </row>
    <row r="58" spans="1:2" s="2846" customFormat="1" ht="15" thickBot="1">
      <c r="A58" s="2853" t="s">
        <v>2714</v>
      </c>
      <c r="B58" s="2854" t="str">
        <f>'预评函-3'!A5</f>
        <v>4.影响价格的其他限定条件：无。</v>
      </c>
    </row>
    <row r="59" spans="1:2" ht="15" thickTop="1">
      <c r="A59" s="2842" t="s">
        <v>2666</v>
      </c>
      <c r="B59" s="2843" t="str">
        <f>'预评函-3'!A8</f>
        <v>2.本《评估意见函》仅供金融机构进行内部审核使用，不做其他目的之用。</v>
      </c>
    </row>
    <row r="60" spans="1:2">
      <c r="A60" s="2831" t="s">
        <v>2667</v>
      </c>
      <c r="B60" s="2832" t="str">
        <f>'预评函-3'!A9</f>
        <v>3.抵押双方在办理抵押登记手续时，应使用本公司出具的正式《土地估价报告》，特提请报告使用者注意。</v>
      </c>
    </row>
    <row r="61" spans="1:2">
      <c r="A61" s="2831" t="s">
        <v>2669</v>
      </c>
      <c r="B61" s="2832" t="str">
        <f>'预评函-3'!A10</f>
        <v>4.估价师所知悉的法定优先受偿款情况为：</v>
      </c>
    </row>
    <row r="62" spans="1:2">
      <c r="A62" s="2831" t="s">
        <v>2668</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2671</v>
      </c>
      <c r="B64" s="2837" t="str">
        <f>'预评函-3'!A13</f>
        <v>（3）。</v>
      </c>
    </row>
    <row r="65" spans="1:2">
      <c r="A65" s="2831" t="s">
        <v>2672</v>
      </c>
      <c r="B65" s="2838" t="str">
        <f>'预评函-3'!A14</f>
        <v>综上，本次评估不存在估价师知悉的法定优先受偿款</v>
      </c>
    </row>
    <row r="66" spans="1:2">
      <c r="A66" s="2831" t="s">
        <v>2673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2674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2677</v>
      </c>
      <c r="B68" s="2857">
        <f>'预评函-3'!D30</f>
        <v>42558</v>
      </c>
    </row>
    <row r="69" spans="1:2" ht="15" thickTop="1">
      <c r="A69" s="2842" t="s">
        <v>2675</v>
      </c>
      <c r="B69" s="2843" t="str">
        <f>'预评函-3'!A20</f>
        <v>土地估价师</v>
      </c>
    </row>
    <row r="70" spans="1:2">
      <c r="A70" s="2831" t="s">
        <v>2675</v>
      </c>
      <c r="B70" s="2838">
        <f>'预评函-3'!B20</f>
        <v>0</v>
      </c>
    </row>
    <row r="71" spans="1:2">
      <c r="A71" s="2831" t="s">
        <v>2676</v>
      </c>
      <c r="B71" s="2832" t="str">
        <f>'预评函-3'!A21</f>
        <v>土地估价师</v>
      </c>
    </row>
    <row r="72" spans="1:2" s="2846" customFormat="1" ht="15" thickBot="1">
      <c r="A72" s="2853" t="s">
        <v>2676</v>
      </c>
      <c r="B72" s="2859">
        <f>'预评函-3'!B21</f>
        <v>0</v>
      </c>
    </row>
    <row r="73" spans="1:2" ht="15" thickTop="1">
      <c r="A73" s="2842" t="s">
        <v>2735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2736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2737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1924</v>
      </c>
      <c r="B1" s="3257" t="str">
        <f>IF(B10="北京市","北京市",C10)&amp;F10&amp;B16&amp;"国有建设用地使用权"&amp;B9&amp;"预评估"</f>
        <v>出让国有建设用地使用权预评估</v>
      </c>
      <c r="C1" s="3258"/>
      <c r="D1" s="3258"/>
      <c r="E1" s="3258"/>
      <c r="F1" s="3258"/>
      <c r="G1" s="3258"/>
      <c r="H1" s="3258"/>
      <c r="I1" s="3259"/>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1925</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1926</v>
      </c>
      <c r="B3" s="1644"/>
      <c r="C3" s="1645" t="s">
        <v>1982</v>
      </c>
      <c r="D3" s="1644">
        <v>43998</v>
      </c>
      <c r="E3" s="1676"/>
      <c r="F3" s="1676"/>
      <c r="G3" s="1676"/>
      <c r="H3" s="1642"/>
      <c r="I3" s="1677"/>
      <c r="J3" s="1676"/>
      <c r="K3" s="1756"/>
      <c r="L3" s="1705"/>
      <c r="M3" s="1705"/>
      <c r="N3" s="1676"/>
      <c r="O3" s="1677"/>
      <c r="P3" s="1676"/>
      <c r="Q3" s="1676"/>
      <c r="R3" s="1676"/>
      <c r="S3" s="1676"/>
      <c r="T3" s="1676"/>
      <c r="U3" s="1676"/>
    </row>
    <row r="4" spans="1:21" ht="29.25" thickBot="1">
      <c r="A4" s="1646" t="s">
        <v>1927</v>
      </c>
      <c r="B4" s="1825" t="s">
        <v>2874</v>
      </c>
      <c r="C4" s="1828">
        <f>SUMIF(土地估价师,B4,估价师及机构信息!E3:E24)</f>
        <v>0</v>
      </c>
      <c r="D4" s="1825" t="s">
        <v>2874</v>
      </c>
      <c r="E4" s="1828">
        <f>SUMIF(土地估价师,D4,估价师及机构信息!E3:E24)</f>
        <v>0</v>
      </c>
      <c r="F4" s="1825" t="s">
        <v>941</v>
      </c>
      <c r="G4" s="1828">
        <f>SUMIF(土地估价师,F4,估价师及机构信息!E3:E24)</f>
        <v>0</v>
      </c>
      <c r="H4" s="1825" t="s">
        <v>941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1928</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2691</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2692</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1929</v>
      </c>
      <c r="B8" s="1652" t="s">
        <v>2978</v>
      </c>
      <c r="C8" s="1653"/>
      <c r="D8" s="3263" t="s">
        <v>1931</v>
      </c>
      <c r="E8" s="1826"/>
      <c r="F8" s="1654"/>
      <c r="G8" s="1642"/>
      <c r="H8" s="1642"/>
      <c r="I8" s="1689"/>
      <c r="J8" s="1676"/>
      <c r="K8" s="1756"/>
      <c r="L8" s="1705"/>
      <c r="M8" s="1705"/>
      <c r="N8" s="1676"/>
      <c r="O8" s="1677"/>
      <c r="P8" s="1676"/>
      <c r="Q8" s="1676"/>
      <c r="R8" s="1676"/>
      <c r="S8" s="1676"/>
      <c r="T8" s="1676"/>
      <c r="U8" s="1676"/>
    </row>
    <row r="9" spans="1:21" ht="15" thickBot="1">
      <c r="A9" s="1655" t="s">
        <v>1930</v>
      </c>
      <c r="B9" s="1656"/>
      <c r="C9" s="1657"/>
      <c r="D9" s="3264"/>
      <c r="E9" s="1656"/>
      <c r="F9" s="1729"/>
      <c r="G9" s="1724"/>
      <c r="H9" s="1724"/>
      <c r="I9" s="1725"/>
      <c r="J9" s="1676"/>
      <c r="K9" s="1756"/>
      <c r="L9" s="1705"/>
      <c r="M9" s="1705"/>
      <c r="N9" s="1676"/>
      <c r="O9" s="1677"/>
      <c r="P9" s="1676"/>
      <c r="Q9" s="1676"/>
      <c r="R9" s="1676"/>
      <c r="S9" s="1676"/>
      <c r="T9" s="1676"/>
      <c r="U9" s="1676"/>
    </row>
    <row r="10" spans="1:21" ht="15" thickTop="1">
      <c r="A10" s="1726" t="s">
        <v>1986</v>
      </c>
      <c r="B10" s="1701"/>
      <c r="C10" s="1658"/>
      <c r="D10" s="1649"/>
      <c r="E10" s="1659" t="s">
        <v>1933</v>
      </c>
      <c r="F10" s="1660"/>
      <c r="G10" s="1727"/>
      <c r="H10" s="1728"/>
      <c r="I10" s="1649"/>
      <c r="J10" s="1676"/>
      <c r="K10" s="1756"/>
      <c r="L10" s="1705"/>
      <c r="M10" s="1705"/>
      <c r="N10" s="1676"/>
      <c r="O10" s="1677"/>
      <c r="P10" s="1676"/>
      <c r="Q10" s="1676"/>
      <c r="R10" s="1676"/>
      <c r="S10" s="1676"/>
      <c r="T10" s="1676"/>
      <c r="U10" s="1676"/>
    </row>
    <row r="11" spans="1:21">
      <c r="A11" s="1679" t="s">
        <v>1987</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2045</v>
      </c>
      <c r="B12" s="3260"/>
      <c r="C12" s="3261"/>
      <c r="D12" s="3262"/>
      <c r="E12" s="1681" t="s">
        <v>2048</v>
      </c>
      <c r="F12" s="3278" t="s">
        <v>2875</v>
      </c>
      <c r="G12" s="3279"/>
      <c r="H12" s="3279"/>
      <c r="I12" s="3280"/>
      <c r="J12" s="1676"/>
      <c r="K12" s="1756"/>
      <c r="L12" s="1705"/>
      <c r="M12" s="1705"/>
      <c r="N12" s="1676"/>
      <c r="O12" s="1677"/>
      <c r="P12" s="1676"/>
      <c r="Q12" s="1676"/>
      <c r="R12" s="1676"/>
      <c r="S12" s="1676"/>
      <c r="T12" s="1676"/>
      <c r="U12" s="1676"/>
    </row>
    <row r="13" spans="1:21">
      <c r="A13" s="1669" t="s">
        <v>2046</v>
      </c>
      <c r="B13" s="3260"/>
      <c r="C13" s="3261"/>
      <c r="D13" s="3262"/>
      <c r="E13" s="1681" t="s">
        <v>2048</v>
      </c>
      <c r="F13" s="3278" t="s">
        <v>2876</v>
      </c>
      <c r="G13" s="3279"/>
      <c r="H13" s="3279"/>
      <c r="I13" s="3280"/>
      <c r="J13" s="1676"/>
      <c r="K13" s="1756"/>
      <c r="L13" s="1705"/>
      <c r="M13" s="1705"/>
      <c r="N13" s="1676"/>
      <c r="O13" s="1677"/>
      <c r="P13" s="1676"/>
      <c r="Q13" s="1676"/>
      <c r="R13" s="1676"/>
      <c r="S13" s="1676"/>
      <c r="T13" s="1676"/>
      <c r="U13" s="1676"/>
    </row>
    <row r="14" spans="1:21">
      <c r="A14" s="1643" t="s">
        <v>2049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1936</v>
      </c>
      <c r="E15" s="1748" t="s">
        <v>1937</v>
      </c>
      <c r="F15" s="1748" t="s">
        <v>1938</v>
      </c>
      <c r="G15" s="1668" t="s">
        <v>1939</v>
      </c>
      <c r="H15" s="1668" t="s">
        <v>1940</v>
      </c>
      <c r="I15" s="1668" t="s">
        <v>1941</v>
      </c>
      <c r="J15" s="1676"/>
      <c r="K15" s="1756"/>
      <c r="L15" s="1705"/>
      <c r="M15" s="1705"/>
      <c r="N15" s="1676"/>
      <c r="O15" s="1677"/>
      <c r="P15" s="1676"/>
      <c r="Q15" s="1676"/>
      <c r="R15" s="1676"/>
      <c r="S15" s="1676"/>
      <c r="T15" s="1676"/>
      <c r="U15" s="1676"/>
    </row>
    <row r="16" spans="1:21" ht="28.5">
      <c r="A16" s="1662" t="s">
        <v>1934</v>
      </c>
      <c r="B16" s="1663" t="s">
        <v>2973</v>
      </c>
      <c r="C16" s="1681" t="s">
        <v>1935</v>
      </c>
      <c r="D16" s="2608" t="s">
        <v>1936</v>
      </c>
      <c r="E16" s="1704" t="s">
        <v>2989</v>
      </c>
      <c r="F16" s="1704"/>
      <c r="G16" s="1704"/>
      <c r="H16" s="1704"/>
      <c r="I16" s="1668" t="s">
        <v>1941</v>
      </c>
      <c r="J16" s="1676"/>
      <c r="K16" s="2418" t="str">
        <f>IF(D17="","",D16&amp;TEXT(D17,"yyyy年m月d日;;"))</f>
        <v/>
      </c>
      <c r="L16" s="1681" t="str">
        <f>IF(OR(K16="",M16=""),"","、")</f>
        <v/>
      </c>
      <c r="M16" s="2418" t="str">
        <f>IF(E17="","",E16&amp;TEXT(E17,"yyyy年m月d日;;"))</f>
        <v>商业2059年3月21日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1942</v>
      </c>
      <c r="D17" s="1682"/>
      <c r="E17" s="1682">
        <v>58155</v>
      </c>
      <c r="F17" s="1682"/>
      <c r="G17" s="1682"/>
      <c r="H17" s="1682"/>
      <c r="I17" s="1682"/>
      <c r="J17" s="1676"/>
      <c r="K17" s="2417" t="str">
        <f>CONCATENATE(K16,L16,M16,N16,O16,P16,Q16,R16,S16,T16,,U16)</f>
        <v>商业2059年3月21日</v>
      </c>
      <c r="L17" s="1705"/>
      <c r="M17" s="1705"/>
      <c r="N17" s="1676"/>
      <c r="O17" s="1677"/>
      <c r="P17" s="1676"/>
      <c r="Q17" s="1676"/>
      <c r="R17" s="1676"/>
      <c r="S17" s="1676"/>
      <c r="T17" s="1676"/>
      <c r="U17" s="1676"/>
    </row>
    <row r="18" spans="1:21">
      <c r="A18" s="1745"/>
      <c r="B18" s="1664"/>
      <c r="C18" s="1665" t="s">
        <v>1943</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1944</v>
      </c>
      <c r="D19" s="1740" t="str">
        <f>IF(B16="出让",IF(D17="","",ROUNDDOWN(MIN((D17-$D$3)/365,D18),2)),D18)</f>
        <v/>
      </c>
      <c r="E19" s="1667">
        <f>IF(B16="出让",IF(E17="","",ROUNDDOWN(MIN((E17-$D$3)/365,E18),2)),E18)</f>
        <v>38.78</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2047</v>
      </c>
      <c r="D20" s="3275"/>
      <c r="E20" s="3276"/>
      <c r="F20" s="3276"/>
      <c r="G20" s="3276"/>
      <c r="H20" s="3276"/>
      <c r="I20" s="3277"/>
      <c r="J20" s="1676"/>
      <c r="K20" s="1756"/>
      <c r="L20" s="1705"/>
      <c r="M20" s="1705"/>
      <c r="N20" s="1676"/>
      <c r="O20" s="1677"/>
      <c r="P20" s="1676"/>
      <c r="Q20" s="1676"/>
      <c r="R20" s="1676"/>
      <c r="S20" s="1676"/>
      <c r="T20" s="1676"/>
      <c r="U20" s="1676"/>
    </row>
    <row r="21" spans="1:21">
      <c r="A21" s="1745" t="s">
        <v>1945</v>
      </c>
      <c r="B21" s="1746" t="s">
        <v>1946</v>
      </c>
      <c r="C21" s="1741">
        <f>'数据-汇总表'!E3</f>
        <v>245924.74</v>
      </c>
      <c r="D21" s="1742" t="s">
        <v>1947</v>
      </c>
      <c r="E21" s="3265" t="s">
        <v>1985</v>
      </c>
      <c r="F21" s="3266"/>
      <c r="G21" s="3266"/>
      <c r="H21" s="3266"/>
      <c r="I21" s="3267"/>
      <c r="J21" s="1676"/>
      <c r="K21" s="1756"/>
      <c r="L21" s="1705"/>
      <c r="M21" s="1705"/>
      <c r="N21" s="1676"/>
      <c r="O21" s="1677"/>
      <c r="P21" s="1676"/>
      <c r="Q21" s="1676"/>
      <c r="R21" s="1676"/>
      <c r="S21" s="1676"/>
      <c r="T21" s="1676"/>
      <c r="U21" s="1676"/>
    </row>
    <row r="22" spans="1:21">
      <c r="A22" s="3089" t="s">
        <v>941</v>
      </c>
      <c r="B22" s="1643" t="s">
        <v>1948</v>
      </c>
      <c r="C22" s="1668">
        <f>'数据-汇总表'!D3</f>
        <v>86744.76</v>
      </c>
      <c r="D22" s="1669" t="s">
        <v>1947</v>
      </c>
      <c r="E22" s="3265" t="s">
        <v>2877</v>
      </c>
      <c r="F22" s="3266"/>
      <c r="G22" s="3266"/>
      <c r="H22" s="3266"/>
      <c r="I22" s="3267"/>
      <c r="J22" s="1676"/>
      <c r="K22" s="1756"/>
      <c r="L22" s="1705"/>
      <c r="M22" s="1705"/>
      <c r="N22" s="1676"/>
      <c r="O22" s="1677"/>
      <c r="P22" s="1676"/>
      <c r="Q22" s="1676"/>
      <c r="R22" s="1676"/>
      <c r="S22" s="1676"/>
      <c r="T22" s="1676"/>
      <c r="U22" s="1676"/>
    </row>
    <row r="23" spans="1:21" ht="43.5" thickBot="1">
      <c r="A23" s="1747" t="s">
        <v>1949</v>
      </c>
      <c r="B23" s="1683" t="s">
        <v>1950</v>
      </c>
      <c r="C23" s="1684"/>
      <c r="D23" s="1685" t="s">
        <v>1951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1952</v>
      </c>
      <c r="B24" s="3268" t="s">
        <v>1953</v>
      </c>
      <c r="C24" s="3269"/>
      <c r="D24" s="3270" t="s">
        <v>1954</v>
      </c>
      <c r="E24" s="3271"/>
      <c r="F24" s="1690" t="s">
        <v>1955</v>
      </c>
      <c r="G24" s="1676"/>
      <c r="H24" s="1676"/>
      <c r="I24" s="1689"/>
      <c r="J24" s="1676"/>
      <c r="K24" s="3256" t="s">
        <v>1956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2311</v>
      </c>
      <c r="C25" s="1691" t="s">
        <v>1957</v>
      </c>
      <c r="D25" s="1692"/>
      <c r="E25" s="1693" t="s">
        <v>941</v>
      </c>
      <c r="F25" s="1694"/>
      <c r="G25" s="1676"/>
      <c r="H25" s="1676"/>
      <c r="I25" s="1689"/>
      <c r="J25" s="1676"/>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1958</v>
      </c>
      <c r="C26" s="1691" t="s">
        <v>2312</v>
      </c>
      <c r="D26" s="1642"/>
      <c r="E26" s="1642"/>
      <c r="F26" s="1670"/>
      <c r="G26" s="1676"/>
      <c r="H26" s="1676"/>
      <c r="I26" s="1689"/>
      <c r="J26" s="1676"/>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1959</v>
      </c>
      <c r="B27" s="1735" t="s">
        <v>1960</v>
      </c>
      <c r="C27" s="1695"/>
      <c r="D27" s="2613" t="s">
        <v>1960</v>
      </c>
      <c r="E27" s="1696"/>
      <c r="F27" s="1670"/>
      <c r="G27" s="1676"/>
      <c r="H27" s="1676"/>
      <c r="I27" s="1689"/>
      <c r="J27" s="1676"/>
      <c r="K27" s="1756"/>
      <c r="L27" s="1705"/>
      <c r="M27" s="1705"/>
      <c r="N27" s="1676"/>
      <c r="O27" s="1677"/>
      <c r="P27" s="1676"/>
      <c r="Q27" s="1676"/>
      <c r="R27" s="1676"/>
      <c r="S27" s="1676"/>
      <c r="T27" s="1676"/>
      <c r="U27" s="1676"/>
    </row>
    <row r="28" spans="1:21">
      <c r="A28" s="1738"/>
      <c r="B28" s="1735" t="s">
        <v>1961</v>
      </c>
      <c r="C28" s="1697"/>
      <c r="D28" s="2614" t="s">
        <v>1961</v>
      </c>
      <c r="E28" s="1698"/>
      <c r="F28" s="1670"/>
      <c r="G28" s="1676"/>
      <c r="H28" s="1676"/>
      <c r="I28" s="1689"/>
      <c r="J28" s="1676"/>
      <c r="K28" s="1756"/>
      <c r="L28" s="1705"/>
      <c r="M28" s="1705"/>
      <c r="N28" s="1676"/>
      <c r="O28" s="1677"/>
      <c r="P28" s="1676"/>
      <c r="Q28" s="1676"/>
      <c r="R28" s="1676"/>
      <c r="S28" s="1676"/>
      <c r="T28" s="1676"/>
      <c r="U28" s="1676"/>
    </row>
    <row r="29" spans="1:21">
      <c r="A29" s="1738"/>
      <c r="B29" s="1735" t="s">
        <v>1962</v>
      </c>
      <c r="C29" s="1697"/>
      <c r="D29" s="2614" t="s">
        <v>1962</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1963</v>
      </c>
      <c r="C30" s="1699"/>
      <c r="D30" s="2615" t="s">
        <v>1963</v>
      </c>
      <c r="E30" s="1700"/>
      <c r="F30" s="1671"/>
      <c r="G30" s="1724"/>
      <c r="H30" s="1724"/>
      <c r="I30" s="1725"/>
      <c r="J30" s="1676"/>
      <c r="K30" s="1756"/>
      <c r="L30" s="1705"/>
      <c r="M30" s="1705"/>
      <c r="N30" s="1676"/>
      <c r="O30" s="1677"/>
      <c r="P30" s="1676"/>
      <c r="Q30" s="1676"/>
      <c r="R30" s="1676"/>
      <c r="S30" s="1676"/>
      <c r="T30" s="1676"/>
      <c r="U30" s="1676"/>
    </row>
    <row r="31" spans="1:21" ht="15" thickTop="1">
      <c r="A31" s="3242" t="s">
        <v>1988</v>
      </c>
      <c r="B31" s="1746" t="s">
        <v>1989</v>
      </c>
      <c r="C31" s="3281"/>
      <c r="D31" s="3282"/>
      <c r="E31" s="1676"/>
      <c r="F31" s="1676"/>
      <c r="G31" s="1676"/>
      <c r="H31" s="1676"/>
      <c r="I31" s="1689"/>
      <c r="J31" s="1676"/>
      <c r="K31" s="2420"/>
      <c r="L31" s="1676"/>
      <c r="M31" s="1676"/>
      <c r="N31" s="1676"/>
      <c r="O31" s="1676"/>
      <c r="P31" s="1676"/>
      <c r="Q31" s="1676"/>
      <c r="R31" s="1676"/>
      <c r="S31" s="1676"/>
      <c r="T31" s="1676"/>
      <c r="U31" s="1676"/>
    </row>
    <row r="32" spans="1:21">
      <c r="A32" s="3242"/>
      <c r="B32" s="1643" t="s">
        <v>1990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2"/>
      <c r="B33" s="1643" t="s">
        <v>1991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3"/>
      <c r="B34" s="1643" t="s">
        <v>1992</v>
      </c>
      <c r="C34" s="3244"/>
      <c r="D34" s="3245"/>
      <c r="E34" s="1676"/>
      <c r="F34" s="1676"/>
      <c r="G34" s="1676"/>
      <c r="H34" s="1676"/>
      <c r="I34" s="1689"/>
      <c r="J34" s="1676"/>
      <c r="K34" s="2420"/>
      <c r="L34" s="1676"/>
      <c r="M34" s="1676"/>
      <c r="N34" s="1676"/>
      <c r="O34" s="1676"/>
      <c r="P34" s="1676"/>
      <c r="Q34" s="1676"/>
      <c r="R34" s="1676"/>
      <c r="S34" s="1676"/>
      <c r="T34" s="1676"/>
      <c r="U34" s="1676"/>
    </row>
    <row r="35" spans="1:21">
      <c r="A35" s="3246" t="s">
        <v>836</v>
      </c>
      <c r="B35" s="1704"/>
      <c r="C35" s="1758" t="str">
        <f>IF(B35="场地平整","——","具体情况：")</f>
        <v>具体情况：</v>
      </c>
      <c r="D35" s="3248"/>
      <c r="E35" s="3249"/>
      <c r="F35" s="3249"/>
      <c r="G35" s="3249"/>
      <c r="H35" s="3249"/>
      <c r="I35" s="3250"/>
      <c r="J35" s="1676"/>
      <c r="K35" s="1757"/>
      <c r="L35" s="1705"/>
      <c r="M35" s="1705"/>
      <c r="N35" s="1676"/>
      <c r="O35" s="1677"/>
      <c r="P35" s="1676"/>
      <c r="Q35" s="1676"/>
      <c r="R35" s="1676"/>
      <c r="S35" s="1676"/>
      <c r="T35" s="1676"/>
      <c r="U35" s="1676"/>
    </row>
    <row r="36" spans="1:21">
      <c r="A36" s="3242"/>
      <c r="B36" s="3251" t="s">
        <v>2041</v>
      </c>
      <c r="C36" s="3252"/>
      <c r="D36" s="1774"/>
      <c r="E36" s="3253"/>
      <c r="F36" s="3253"/>
      <c r="G36" s="1669" t="str">
        <f>IF(B35="场地未平整","估价结果处理","")</f>
        <v/>
      </c>
      <c r="H36" s="3254"/>
      <c r="I36" s="3254"/>
      <c r="J36" s="1676"/>
      <c r="K36" s="1757"/>
      <c r="L36" s="1705"/>
      <c r="M36" s="1705"/>
      <c r="N36" s="1676"/>
      <c r="O36" s="1677"/>
      <c r="P36" s="1676"/>
      <c r="Q36" s="1676"/>
      <c r="R36" s="1676"/>
      <c r="S36" s="1676"/>
      <c r="T36" s="1676"/>
      <c r="U36" s="1676"/>
    </row>
    <row r="37" spans="1:21" ht="28.5">
      <c r="A37" s="3242"/>
      <c r="B37" s="3272" t="s">
        <v>837</v>
      </c>
      <c r="C37" s="1706" t="s">
        <v>838</v>
      </c>
      <c r="D37" s="1707"/>
      <c r="E37" s="1708"/>
      <c r="F37" s="1676"/>
      <c r="G37" s="1676"/>
      <c r="H37" s="1676"/>
      <c r="I37" s="1689"/>
      <c r="J37" s="1676"/>
      <c r="K37" s="1757"/>
      <c r="L37" s="1676"/>
      <c r="M37" s="1676"/>
      <c r="N37" s="1676"/>
      <c r="O37" s="1676"/>
      <c r="P37" s="1676"/>
      <c r="Q37" s="1676"/>
      <c r="R37" s="1676"/>
      <c r="S37" s="1676"/>
      <c r="T37" s="1676"/>
      <c r="U37" s="1676"/>
    </row>
    <row r="38" spans="1:21">
      <c r="A38" s="3242"/>
      <c r="B38" s="3273"/>
      <c r="C38" s="1651" t="s">
        <v>839</v>
      </c>
      <c r="D38" s="1773">
        <f>ROUNDDOWN(MIN(('数据-取费表'!$B$2-D37)/365,D34),1)</f>
        <v>120.5</v>
      </c>
      <c r="E38" s="1709" t="s">
        <v>840</v>
      </c>
      <c r="F38" s="1676"/>
      <c r="G38" s="1676"/>
      <c r="H38" s="1676"/>
      <c r="I38" s="1689"/>
      <c r="J38" s="1676"/>
      <c r="K38" s="1757"/>
      <c r="L38" s="1676"/>
      <c r="M38" s="1676"/>
      <c r="N38" s="1676"/>
      <c r="O38" s="1676"/>
      <c r="P38" s="1676"/>
      <c r="Q38" s="1676"/>
      <c r="R38" s="1676"/>
      <c r="S38" s="1676"/>
      <c r="T38" s="1676"/>
      <c r="U38" s="1676"/>
    </row>
    <row r="39" spans="1:21">
      <c r="A39" s="3243"/>
      <c r="B39" s="327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1964</v>
      </c>
      <c r="B40" s="1672"/>
      <c r="C40" s="1672"/>
      <c r="D40" s="1672"/>
      <c r="E40" s="1672"/>
      <c r="F40" s="1672"/>
      <c r="G40" s="1672"/>
      <c r="H40" s="1672"/>
      <c r="I40" s="1689"/>
      <c r="J40" s="1676"/>
      <c r="K40" s="1712">
        <f>COUNTIF(B40:H40,"——")</f>
        <v>0</v>
      </c>
      <c r="L40" s="1681" t="s">
        <v>1965</v>
      </c>
      <c r="M40" s="1678" t="s">
        <v>1966</v>
      </c>
      <c r="N40" s="1678" t="s">
        <v>1967</v>
      </c>
      <c r="O40" s="1678" t="s">
        <v>1968</v>
      </c>
      <c r="P40" s="1678" t="s">
        <v>1969</v>
      </c>
      <c r="Q40" s="1678" t="s">
        <v>1970</v>
      </c>
      <c r="R40" s="1678" t="s">
        <v>1971</v>
      </c>
      <c r="S40" s="3255" t="s">
        <v>1972</v>
      </c>
      <c r="T40" s="1713" t="str">
        <f>NUMBERSTRING(7-K40,1)&amp;"通"</f>
        <v>七通</v>
      </c>
      <c r="U40" s="1676"/>
    </row>
    <row r="41" spans="1:21">
      <c r="A41" s="1645"/>
      <c r="B41" s="3247" t="s">
        <v>1710</v>
      </c>
      <c r="C41" s="3247"/>
      <c r="D41" s="3247"/>
      <c r="E41" s="324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5"/>
      <c r="T41" s="1715" t="str">
        <f>IF(T40="一通",L41,IF(T40="二通",M41,IF(T40="三通",N41,IF(T40="四通",O41,IF(T40="五通",P41,IF(T40="六通",Q41,R41))))))</f>
        <v>、、、、、、</v>
      </c>
      <c r="U41" s="1676"/>
    </row>
    <row r="42" spans="1:21">
      <c r="A42" s="1717"/>
      <c r="B42" s="1748" t="s">
        <v>1886</v>
      </c>
      <c r="C42" s="1748" t="s">
        <v>1887</v>
      </c>
      <c r="D42" s="1748" t="s">
        <v>1888</v>
      </c>
      <c r="E42" s="1681" t="s">
        <v>1889</v>
      </c>
      <c r="F42" s="1718"/>
      <c r="G42" s="1676"/>
      <c r="H42" s="1676"/>
      <c r="I42" s="1689"/>
      <c r="J42" s="1676"/>
      <c r="K42" s="1756"/>
      <c r="L42" s="1705"/>
      <c r="M42" s="1705"/>
      <c r="N42" s="1676"/>
      <c r="O42" s="1677"/>
      <c r="P42" s="1676"/>
      <c r="Q42" s="1676"/>
      <c r="R42" s="1676"/>
      <c r="S42" s="1676"/>
      <c r="T42" s="1676"/>
      <c r="U42" s="1676"/>
    </row>
    <row r="43" spans="1:21">
      <c r="A43" s="1719" t="s">
        <v>1695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1696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2878</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1993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1994</v>
      </c>
      <c r="B48" s="1668" t="s">
        <v>1995</v>
      </c>
      <c r="C48" s="1668" t="s">
        <v>1996</v>
      </c>
      <c r="D48" s="1668" t="s">
        <v>1997</v>
      </c>
      <c r="E48" s="1668" t="s">
        <v>1998</v>
      </c>
      <c r="F48" s="1668" t="s">
        <v>1999</v>
      </c>
      <c r="G48" s="1668" t="s">
        <v>2000</v>
      </c>
      <c r="H48" s="1668" t="s">
        <v>2001</v>
      </c>
      <c r="I48" s="1668" t="s">
        <v>2002</v>
      </c>
      <c r="J48" s="1754" t="s">
        <v>2003</v>
      </c>
      <c r="K48" s="1748" t="s">
        <v>2004</v>
      </c>
      <c r="L48" s="1748" t="s">
        <v>2005</v>
      </c>
      <c r="M48" s="1748" t="s">
        <v>2006</v>
      </c>
      <c r="N48" s="1668" t="s">
        <v>2007</v>
      </c>
      <c r="O48" s="1668" t="s">
        <v>2008</v>
      </c>
      <c r="P48" s="1668" t="s">
        <v>2009</v>
      </c>
      <c r="Q48" s="1681" t="s">
        <v>2010</v>
      </c>
      <c r="R48" s="1681" t="s">
        <v>2011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A1:V30"/>
  <sheetViews>
    <sheetView workbookViewId="0">
      <pane xSplit="1" ySplit="1" topLeftCell="F2" activePane="bottomRight" state="frozen"/>
      <selection pane="topRight" activeCell="B1" sqref="B1"/>
      <selection pane="bottomLeft" activeCell="A2" sqref="A2"/>
      <selection pane="bottomRight" activeCell="V5" sqref="V5"/>
    </sheetView>
  </sheetViews>
  <sheetFormatPr defaultRowHeight="13.5"/>
  <cols>
    <col min="1" max="1" width="10" style="3194" customWidth="1"/>
    <col min="2" max="2" width="9" style="3194"/>
    <col min="3" max="3" width="14.5" style="3194" customWidth="1"/>
    <col min="4" max="4" width="14.5" style="3194" hidden="1" customWidth="1"/>
    <col min="5" max="5" width="18" style="3194" customWidth="1"/>
    <col min="6" max="16384" width="9" style="3194"/>
  </cols>
  <sheetData>
    <row r="1" spans="1:22" s="3200" customFormat="1" ht="44.25" customHeight="1">
      <c r="A1" s="3199" t="s">
        <v>3021</v>
      </c>
      <c r="B1" s="3199" t="s">
        <v>3020</v>
      </c>
      <c r="C1" s="3201" t="s">
        <v>3019</v>
      </c>
      <c r="D1" s="3199" t="s">
        <v>3018</v>
      </c>
      <c r="E1" s="3199" t="s">
        <v>3017</v>
      </c>
      <c r="I1" s="3200" t="s">
        <v>3016</v>
      </c>
      <c r="J1" s="3200" t="s">
        <v>3015</v>
      </c>
      <c r="K1" s="3200" t="s">
        <v>3014</v>
      </c>
      <c r="L1" s="3200" t="s">
        <v>3013</v>
      </c>
      <c r="M1" s="3200" t="s">
        <v>3012</v>
      </c>
    </row>
    <row r="2" spans="1:22" ht="22.5" customHeight="1">
      <c r="A2" s="3283" t="s">
        <v>3011</v>
      </c>
      <c r="B2" s="3199">
        <v>15</v>
      </c>
      <c r="C2" s="3198">
        <v>4092.05</v>
      </c>
      <c r="D2" s="3198">
        <v>4222.4269999999997</v>
      </c>
      <c r="E2" s="3199" t="s">
        <v>3008</v>
      </c>
      <c r="F2" s="3194">
        <v>4279.47</v>
      </c>
      <c r="G2" s="3194">
        <v>17</v>
      </c>
      <c r="J2" s="3194" t="s">
        <v>3003</v>
      </c>
      <c r="K2" s="3194">
        <v>20055.95</v>
      </c>
      <c r="L2" s="3194">
        <v>19912.86</v>
      </c>
      <c r="O2" s="3194">
        <v>17</v>
      </c>
      <c r="P2" s="3194" t="s">
        <v>3083</v>
      </c>
      <c r="Q2" s="3194">
        <v>15832</v>
      </c>
      <c r="U2" s="3194">
        <f>Q2+Q11+Q21</f>
        <v>70472</v>
      </c>
    </row>
    <row r="3" spans="1:22" ht="22.5" customHeight="1">
      <c r="A3" s="3283"/>
      <c r="B3" s="3199">
        <v>16</v>
      </c>
      <c r="C3" s="3198">
        <v>4091.85</v>
      </c>
      <c r="D3" s="3198">
        <v>4263.6018960000001</v>
      </c>
      <c r="E3" s="3199" t="s">
        <v>3008</v>
      </c>
      <c r="F3" s="3194">
        <v>4279.47</v>
      </c>
      <c r="G3" s="3194">
        <v>17</v>
      </c>
      <c r="J3" s="3194" t="s">
        <v>3002</v>
      </c>
      <c r="K3" s="3194">
        <v>7658.54</v>
      </c>
      <c r="L3" s="3194">
        <v>7653.05</v>
      </c>
      <c r="O3" s="3194">
        <v>12</v>
      </c>
      <c r="P3" s="3194" t="s">
        <v>3085</v>
      </c>
      <c r="Q3" s="3194">
        <v>20300</v>
      </c>
      <c r="U3" s="3194">
        <f>Q7+Q19+Q25</f>
        <v>1146</v>
      </c>
    </row>
    <row r="4" spans="1:22" ht="22.5" customHeight="1">
      <c r="A4" s="3283"/>
      <c r="B4" s="3199">
        <v>17</v>
      </c>
      <c r="C4" s="3198">
        <v>4091.76</v>
      </c>
      <c r="D4" s="3198">
        <v>4106.9947999999995</v>
      </c>
      <c r="E4" s="3199" t="s">
        <v>3008</v>
      </c>
      <c r="F4" s="3194">
        <v>4270.79</v>
      </c>
      <c r="G4" s="3194">
        <v>17</v>
      </c>
      <c r="J4" s="3194" t="s">
        <v>2990</v>
      </c>
      <c r="K4" s="3194">
        <v>6855.2</v>
      </c>
      <c r="P4" s="3194" t="s">
        <v>3087</v>
      </c>
      <c r="Q4" s="3194">
        <v>4115</v>
      </c>
      <c r="U4" s="3194">
        <f>R7+R19+R25</f>
        <v>38387.129999999997</v>
      </c>
      <c r="V4" s="3194">
        <f>U4/U3</f>
        <v>33.496623036649211</v>
      </c>
    </row>
    <row r="5" spans="1:22" ht="22.5" customHeight="1">
      <c r="A5" s="3283"/>
      <c r="B5" s="3199">
        <v>18</v>
      </c>
      <c r="C5" s="3198">
        <v>4091.88</v>
      </c>
      <c r="D5" s="3198">
        <v>3985.6469999999995</v>
      </c>
      <c r="E5" s="3199" t="s">
        <v>3008</v>
      </c>
      <c r="F5" s="3194">
        <v>4279.47</v>
      </c>
      <c r="G5" s="3194">
        <v>17</v>
      </c>
      <c r="I5" s="3194" t="s">
        <v>3010</v>
      </c>
      <c r="P5" s="3194" t="s">
        <v>3089</v>
      </c>
      <c r="Q5" s="3194">
        <v>10150</v>
      </c>
    </row>
    <row r="6" spans="1:22" ht="22.5" customHeight="1">
      <c r="A6" s="3283"/>
      <c r="B6" s="3199">
        <v>19</v>
      </c>
      <c r="C6" s="3198">
        <v>4537.4348</v>
      </c>
      <c r="D6" s="3198">
        <v>5181.7989924800004</v>
      </c>
      <c r="E6" s="3199" t="s">
        <v>3008</v>
      </c>
      <c r="F6" s="3194">
        <v>4782.9399999999996</v>
      </c>
      <c r="G6" s="3194">
        <v>17</v>
      </c>
      <c r="J6" s="3194" t="s">
        <v>3003</v>
      </c>
      <c r="K6" s="3194">
        <v>24443.01</v>
      </c>
      <c r="L6" s="3194">
        <v>24280.55</v>
      </c>
      <c r="O6" s="3194">
        <v>19</v>
      </c>
      <c r="P6" s="3194" t="s">
        <v>3091</v>
      </c>
      <c r="Q6" s="3194">
        <v>3400</v>
      </c>
    </row>
    <row r="7" spans="1:22" ht="22.5" customHeight="1">
      <c r="A7" s="3283"/>
      <c r="B7" s="3199">
        <v>20</v>
      </c>
      <c r="C7" s="3198">
        <v>4537.2791999999999</v>
      </c>
      <c r="D7" s="3198">
        <v>5226.6355832999989</v>
      </c>
      <c r="E7" s="3199" t="s">
        <v>3008</v>
      </c>
      <c r="F7" s="3194">
        <v>4782.1000000000004</v>
      </c>
      <c r="G7" s="3194">
        <v>17</v>
      </c>
      <c r="J7" s="3194" t="s">
        <v>3009</v>
      </c>
      <c r="K7" s="3194">
        <f>9029.09-M7</f>
        <v>6159.39</v>
      </c>
      <c r="L7" s="3194">
        <v>6010.82</v>
      </c>
      <c r="M7" s="3194">
        <v>2869.7</v>
      </c>
      <c r="O7" s="3194">
        <v>3</v>
      </c>
      <c r="P7" s="3194" t="s">
        <v>3093</v>
      </c>
      <c r="Q7" s="3194">
        <v>274</v>
      </c>
      <c r="R7" s="3194">
        <v>6855.2</v>
      </c>
      <c r="S7" s="3194">
        <f>R7/Q7</f>
        <v>25.018978102189781</v>
      </c>
    </row>
    <row r="8" spans="1:22" ht="22.5" customHeight="1">
      <c r="A8" s="3283"/>
      <c r="B8" s="3199">
        <v>21</v>
      </c>
      <c r="C8" s="3198">
        <v>4537.3159999999989</v>
      </c>
      <c r="D8" s="3198">
        <v>4963.5226232000005</v>
      </c>
      <c r="E8" s="3199" t="s">
        <v>3008</v>
      </c>
      <c r="F8" s="3194">
        <v>4782.1000000000004</v>
      </c>
      <c r="G8" s="3194">
        <v>17</v>
      </c>
      <c r="J8" s="3194" t="s">
        <v>3001</v>
      </c>
      <c r="K8" s="3194">
        <v>21195.88</v>
      </c>
      <c r="L8" s="3194">
        <v>21071.62</v>
      </c>
      <c r="O8" s="3194">
        <v>18</v>
      </c>
    </row>
    <row r="9" spans="1:22" ht="22.5" customHeight="1">
      <c r="A9" s="3283"/>
      <c r="B9" s="3199">
        <v>22</v>
      </c>
      <c r="C9" s="3198">
        <v>4537.2816000000003</v>
      </c>
      <c r="D9" s="3198">
        <v>4827.7822556800011</v>
      </c>
      <c r="E9" s="3199" t="s">
        <v>3008</v>
      </c>
      <c r="F9" s="3194">
        <v>4744.0600000000004</v>
      </c>
      <c r="G9" s="3194">
        <v>17</v>
      </c>
      <c r="J9" s="3194" t="s">
        <v>3000</v>
      </c>
      <c r="K9" s="3194">
        <v>1165.3399999999999</v>
      </c>
      <c r="L9" s="3194">
        <v>1154.49</v>
      </c>
      <c r="O9" s="3194">
        <v>4</v>
      </c>
    </row>
    <row r="10" spans="1:22" ht="22.5" customHeight="1">
      <c r="A10" s="3283" t="s">
        <v>3007</v>
      </c>
      <c r="B10" s="3199">
        <v>8</v>
      </c>
      <c r="C10" s="3198">
        <v>13029.095600000001</v>
      </c>
      <c r="D10" s="3198">
        <v>12011.21774464</v>
      </c>
      <c r="E10" s="3199" t="s">
        <v>3006</v>
      </c>
      <c r="F10" s="3194">
        <v>14013.94</v>
      </c>
      <c r="G10" s="3194">
        <v>30</v>
      </c>
      <c r="J10" s="3194" t="s">
        <v>2999</v>
      </c>
      <c r="K10" s="3194">
        <v>3266.45</v>
      </c>
      <c r="L10" s="3194">
        <v>3230.34</v>
      </c>
      <c r="O10" s="3194">
        <v>3</v>
      </c>
    </row>
    <row r="11" spans="1:22" ht="22.5" customHeight="1">
      <c r="A11" s="3283"/>
      <c r="B11" s="3199">
        <v>9</v>
      </c>
      <c r="C11" s="3198">
        <v>12010.387000000001</v>
      </c>
      <c r="D11" s="3198">
        <v>10711.654699999999</v>
      </c>
      <c r="E11" s="3199" t="s">
        <v>3006</v>
      </c>
      <c r="F11" s="3194">
        <v>12843.19</v>
      </c>
      <c r="G11" s="3194">
        <v>30</v>
      </c>
      <c r="J11" s="3194" t="s">
        <v>2996</v>
      </c>
      <c r="K11" s="3194">
        <v>1165.3399999999999</v>
      </c>
      <c r="L11" s="3194">
        <v>1154.49</v>
      </c>
      <c r="O11" s="3194">
        <v>4</v>
      </c>
      <c r="P11" s="3194" t="s">
        <v>3083</v>
      </c>
      <c r="Q11" s="3194">
        <v>24902</v>
      </c>
    </row>
    <row r="12" spans="1:22" ht="22.5" customHeight="1">
      <c r="A12" s="3283"/>
      <c r="B12" s="3199">
        <v>12</v>
      </c>
      <c r="C12" s="3198">
        <v>13921.049200000003</v>
      </c>
      <c r="D12" s="3198">
        <v>13251.812795200001</v>
      </c>
      <c r="E12" s="3199" t="s">
        <v>3006</v>
      </c>
      <c r="F12" s="3194">
        <v>15066.13</v>
      </c>
      <c r="G12" s="3194">
        <v>32</v>
      </c>
      <c r="J12" s="3194" t="s">
        <v>2995</v>
      </c>
      <c r="K12" s="3194">
        <v>2837.4</v>
      </c>
      <c r="L12" s="3194">
        <v>1154.49</v>
      </c>
      <c r="O12" s="3194">
        <v>4</v>
      </c>
      <c r="P12" s="3194" t="s">
        <v>3095</v>
      </c>
      <c r="Q12" s="3194">
        <v>24597.919999999998</v>
      </c>
    </row>
    <row r="13" spans="1:22" ht="22.5" customHeight="1">
      <c r="A13" s="3283"/>
      <c r="B13" s="3199">
        <v>13</v>
      </c>
      <c r="C13" s="3198">
        <v>12833.402599999998</v>
      </c>
      <c r="D13" s="3198">
        <v>11830.678918140002</v>
      </c>
      <c r="E13" s="3199" t="s">
        <v>3006</v>
      </c>
      <c r="F13" s="3194">
        <v>13806.47</v>
      </c>
      <c r="G13" s="3194">
        <v>32</v>
      </c>
      <c r="J13" s="3194" t="s">
        <v>2994</v>
      </c>
      <c r="K13" s="3194">
        <v>23.04</v>
      </c>
      <c r="L13" s="3194">
        <v>23.04</v>
      </c>
      <c r="O13" s="3194">
        <v>1</v>
      </c>
      <c r="P13" s="3194" t="s">
        <v>3097</v>
      </c>
      <c r="Q13" s="3194">
        <v>3054.24</v>
      </c>
    </row>
    <row r="14" spans="1:22" ht="22.5" customHeight="1">
      <c r="A14" s="3283" t="s">
        <v>3005</v>
      </c>
      <c r="B14" s="3199">
        <v>1</v>
      </c>
      <c r="C14" s="3198">
        <v>12443.700000000003</v>
      </c>
      <c r="D14" s="3198">
        <v>13995.204450000001</v>
      </c>
      <c r="E14" s="3199" t="s">
        <v>2998</v>
      </c>
      <c r="F14" s="3194">
        <v>14060.01</v>
      </c>
      <c r="G14" s="3194">
        <v>32</v>
      </c>
      <c r="J14" s="3194" t="s">
        <v>2990</v>
      </c>
      <c r="K14" s="3194">
        <v>21145.03</v>
      </c>
      <c r="P14" s="3194" t="s">
        <v>3099</v>
      </c>
      <c r="Q14" s="3194">
        <v>2774.54</v>
      </c>
    </row>
    <row r="15" spans="1:22" ht="22.5" customHeight="1">
      <c r="A15" s="3283"/>
      <c r="B15" s="3199">
        <v>2</v>
      </c>
      <c r="C15" s="3198">
        <v>13019.950000000004</v>
      </c>
      <c r="D15" s="3198">
        <v>14773.623795</v>
      </c>
      <c r="E15" s="3199" t="s">
        <v>2998</v>
      </c>
      <c r="F15" s="3194">
        <v>14480.61</v>
      </c>
      <c r="G15" s="3194">
        <v>32</v>
      </c>
      <c r="I15" s="3194" t="s">
        <v>3004</v>
      </c>
      <c r="P15" s="3194" t="s">
        <v>3087</v>
      </c>
      <c r="Q15" s="3194">
        <v>15436.32</v>
      </c>
    </row>
    <row r="16" spans="1:22" ht="22.5" customHeight="1">
      <c r="A16" s="3283"/>
      <c r="B16" s="3199">
        <v>3</v>
      </c>
      <c r="C16" s="3198">
        <v>13024.089999999997</v>
      </c>
      <c r="D16" s="3198">
        <v>14908.446882999999</v>
      </c>
      <c r="E16" s="3199" t="s">
        <v>2998</v>
      </c>
      <c r="F16" s="3194">
        <v>14586.22</v>
      </c>
      <c r="G16" s="3194">
        <v>32</v>
      </c>
      <c r="J16" s="3194" t="s">
        <v>3003</v>
      </c>
      <c r="K16" s="3194">
        <v>30065.15</v>
      </c>
      <c r="L16" s="3194">
        <v>29903.5</v>
      </c>
      <c r="O16" s="3194">
        <v>21</v>
      </c>
      <c r="P16" s="3194" t="s">
        <v>3101</v>
      </c>
      <c r="Q16" s="3194">
        <v>2300</v>
      </c>
    </row>
    <row r="17" spans="1:19" ht="22.5" customHeight="1">
      <c r="A17" s="3283"/>
      <c r="B17" s="3199">
        <v>4</v>
      </c>
      <c r="C17" s="3198">
        <v>12362.009999999998</v>
      </c>
      <c r="D17" s="3198">
        <v>13779.821077000002</v>
      </c>
      <c r="E17" s="3199" t="s">
        <v>2998</v>
      </c>
      <c r="F17" s="3194">
        <v>13535.62</v>
      </c>
      <c r="G17" s="3194">
        <v>32</v>
      </c>
      <c r="J17" s="3194" t="s">
        <v>3002</v>
      </c>
      <c r="K17" s="3194">
        <v>30065.15</v>
      </c>
      <c r="L17" s="3194">
        <v>29903.5</v>
      </c>
      <c r="O17" s="3194">
        <v>21</v>
      </c>
      <c r="P17" s="3194" t="s">
        <v>3089</v>
      </c>
      <c r="Q17" s="3194">
        <v>8600</v>
      </c>
    </row>
    <row r="18" spans="1:19" ht="22.5" customHeight="1">
      <c r="A18" s="3283"/>
      <c r="B18" s="3199">
        <v>6</v>
      </c>
      <c r="C18" s="3198">
        <v>12401.01</v>
      </c>
      <c r="D18" s="3198">
        <v>16412.43536225229</v>
      </c>
      <c r="E18" s="3199" t="s">
        <v>2998</v>
      </c>
      <c r="F18" s="3194">
        <v>14506.02</v>
      </c>
      <c r="G18" s="3194">
        <v>30</v>
      </c>
      <c r="J18" s="3194" t="s">
        <v>3001</v>
      </c>
      <c r="K18" s="3194">
        <v>2259.4299999999998</v>
      </c>
      <c r="L18" s="3194">
        <v>2259.4299999999998</v>
      </c>
      <c r="O18" s="3194">
        <v>2</v>
      </c>
      <c r="P18" s="3194" t="s">
        <v>3091</v>
      </c>
      <c r="Q18" s="3194">
        <v>3000</v>
      </c>
    </row>
    <row r="19" spans="1:19" ht="22.5" customHeight="1">
      <c r="A19" s="3283"/>
      <c r="B19" s="3199">
        <v>7</v>
      </c>
      <c r="C19" s="3198">
        <v>13008.61</v>
      </c>
      <c r="D19" s="3198">
        <v>17347.220642393411</v>
      </c>
      <c r="E19" s="3199" t="s">
        <v>2998</v>
      </c>
      <c r="F19" s="3194">
        <v>13988.52</v>
      </c>
      <c r="G19" s="3194">
        <v>30</v>
      </c>
      <c r="J19" s="3194" t="s">
        <v>3000</v>
      </c>
      <c r="K19" s="3194">
        <v>3617.01</v>
      </c>
      <c r="L19" s="3194">
        <v>2547.5700000000002</v>
      </c>
      <c r="O19" s="3194">
        <v>3</v>
      </c>
      <c r="P19" s="3194" t="s">
        <v>3093</v>
      </c>
      <c r="Q19" s="3194">
        <v>587</v>
      </c>
      <c r="R19" s="3194">
        <v>21145.03</v>
      </c>
      <c r="S19" s="3194">
        <f>R19/Q19</f>
        <v>36.022197614991477</v>
      </c>
    </row>
    <row r="20" spans="1:19" ht="22.5" customHeight="1">
      <c r="A20" s="3283"/>
      <c r="B20" s="3199">
        <v>10</v>
      </c>
      <c r="C20" s="3198">
        <v>13963.070000000003</v>
      </c>
      <c r="D20" s="3198">
        <v>18781.786465174875</v>
      </c>
      <c r="E20" s="3199" t="s">
        <v>2998</v>
      </c>
      <c r="F20" s="3194">
        <v>15026.52</v>
      </c>
      <c r="G20" s="3194">
        <v>32</v>
      </c>
      <c r="J20" s="3194" t="s">
        <v>2999</v>
      </c>
      <c r="K20" s="3194">
        <v>3619.42</v>
      </c>
      <c r="L20" s="3194">
        <v>2549.9299999999998</v>
      </c>
      <c r="O20" s="3194">
        <v>3</v>
      </c>
    </row>
    <row r="21" spans="1:19" ht="22.5" customHeight="1">
      <c r="A21" s="3283"/>
      <c r="B21" s="3199">
        <v>11</v>
      </c>
      <c r="C21" s="3198">
        <v>13956.589999999998</v>
      </c>
      <c r="D21" s="3198">
        <v>19051.672234825215</v>
      </c>
      <c r="E21" s="3199" t="s">
        <v>2998</v>
      </c>
      <c r="F21" s="3194">
        <v>14934.97</v>
      </c>
      <c r="G21" s="3194" t="s">
        <v>2997</v>
      </c>
      <c r="J21" s="3194" t="s">
        <v>2996</v>
      </c>
      <c r="K21" s="3194">
        <v>468.3</v>
      </c>
      <c r="L21" s="3194">
        <v>326.04000000000002</v>
      </c>
      <c r="O21" s="3194">
        <v>3</v>
      </c>
      <c r="P21" s="3194" t="s">
        <v>3083</v>
      </c>
      <c r="Q21" s="3194">
        <v>29738</v>
      </c>
    </row>
    <row r="22" spans="1:19" s="3196" customFormat="1" ht="21.75" customHeight="1">
      <c r="A22" s="3197"/>
      <c r="B22" s="3197"/>
      <c r="C22" s="3198">
        <f>SUM(C2:C21)</f>
        <v>190489.81600000002</v>
      </c>
      <c r="D22" s="3198">
        <f>SUM(D2:D21)</f>
        <v>213633.98521828582</v>
      </c>
      <c r="E22" s="3197"/>
      <c r="J22" s="3194" t="s">
        <v>2995</v>
      </c>
      <c r="K22" s="3194">
        <v>468.3</v>
      </c>
      <c r="L22" s="3194">
        <v>326.04000000000002</v>
      </c>
      <c r="O22" s="3196">
        <v>3</v>
      </c>
      <c r="P22" s="3196" t="s">
        <v>3087</v>
      </c>
      <c r="Q22" s="3196">
        <v>54520</v>
      </c>
    </row>
    <row r="23" spans="1:19">
      <c r="J23" s="3194" t="s">
        <v>2994</v>
      </c>
      <c r="K23" s="3194">
        <v>468.3</v>
      </c>
      <c r="L23" s="3194">
        <v>326.04000000000002</v>
      </c>
      <c r="O23" s="3194">
        <v>3</v>
      </c>
      <c r="P23" s="3194" t="s">
        <v>3103</v>
      </c>
      <c r="Q23" s="3194">
        <v>8400</v>
      </c>
    </row>
    <row r="24" spans="1:19">
      <c r="J24" s="3194" t="s">
        <v>2993</v>
      </c>
      <c r="K24" s="3194">
        <v>468.3</v>
      </c>
      <c r="L24" s="3194">
        <v>326.04000000000002</v>
      </c>
      <c r="O24" s="3194">
        <v>3</v>
      </c>
      <c r="P24" s="3194" t="s">
        <v>3091</v>
      </c>
      <c r="Q24" s="3194">
        <v>8450</v>
      </c>
    </row>
    <row r="25" spans="1:19">
      <c r="J25" s="3194" t="s">
        <v>2992</v>
      </c>
      <c r="K25" s="3194">
        <v>2042.15</v>
      </c>
      <c r="L25" s="3194">
        <v>1436.14</v>
      </c>
      <c r="O25" s="3194">
        <v>3</v>
      </c>
      <c r="P25" s="3194" t="s">
        <v>3093</v>
      </c>
      <c r="Q25" s="3194">
        <v>285</v>
      </c>
      <c r="R25" s="3194">
        <v>10386.9</v>
      </c>
      <c r="S25" s="3194">
        <f>R25/Q25</f>
        <v>36.445263157894736</v>
      </c>
    </row>
    <row r="26" spans="1:19">
      <c r="J26" s="3194" t="s">
        <v>2991</v>
      </c>
      <c r="K26" s="3194">
        <v>2039.13</v>
      </c>
      <c r="L26" s="3194">
        <v>1436</v>
      </c>
      <c r="O26" s="3194">
        <v>3</v>
      </c>
    </row>
    <row r="27" spans="1:19">
      <c r="J27" s="3194" t="s">
        <v>2990</v>
      </c>
      <c r="K27" s="3194">
        <v>10386.9</v>
      </c>
    </row>
    <row r="28" spans="1:19">
      <c r="K28" s="3195">
        <f>SUM(K2:K27)</f>
        <v>201938.10999999993</v>
      </c>
      <c r="L28" s="3195">
        <f>SUM(L2:L27)</f>
        <v>156985.98000000004</v>
      </c>
      <c r="M28" s="3195">
        <f>SUM(M2:M27)</f>
        <v>2869.7</v>
      </c>
      <c r="N28" s="3195"/>
      <c r="O28" s="3195"/>
    </row>
    <row r="29" spans="1:19">
      <c r="L29" s="3194">
        <f>'数据-基础表'!A3</f>
        <v>86744.76</v>
      </c>
      <c r="P29" s="3194" t="s">
        <v>3104</v>
      </c>
      <c r="Q29" s="3194">
        <v>70472</v>
      </c>
    </row>
    <row r="30" spans="1:19">
      <c r="K30" s="3194">
        <f>K28/L29</f>
        <v>2.3279574466515318</v>
      </c>
      <c r="L30" s="3194">
        <f>L28/L29</f>
        <v>1.8097459719757141</v>
      </c>
    </row>
  </sheetData>
  <mergeCells count="3">
    <mergeCell ref="A2:A9"/>
    <mergeCell ref="A10:A13"/>
    <mergeCell ref="A14:A21"/>
  </mergeCells>
  <phoneticPr fontId="228" type="noConversion"/>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153</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157</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154</v>
      </c>
      <c r="B2" s="17" t="s">
        <v>155</v>
      </c>
      <c r="C2" s="17" t="s">
        <v>156</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158</v>
      </c>
      <c r="AZ2" s="2322" t="s">
        <v>2319</v>
      </c>
      <c r="BA2" s="2323" t="s">
        <v>2318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86744.76</v>
      </c>
      <c r="B3" s="22">
        <f>IF(C3="否",G5-AT5,G5)</f>
        <v>245924.74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159</v>
      </c>
      <c r="B5" s="988"/>
      <c r="C5" s="988"/>
      <c r="D5" s="995"/>
      <c r="E5" s="27" t="s">
        <v>1</v>
      </c>
      <c r="F5" s="27">
        <f>SUM(F13:F572)</f>
        <v>0</v>
      </c>
      <c r="G5" s="27">
        <f>SUM(G13:G572)</f>
        <v>245924.74</v>
      </c>
      <c r="H5" s="27">
        <f t="shared" ref="H5:AT5" si="0">SUM(H13:H641)</f>
        <v>207514.57</v>
      </c>
      <c r="I5" s="27">
        <f t="shared" si="0"/>
        <v>24597.9</v>
      </c>
      <c r="J5" s="27">
        <f t="shared" si="0"/>
        <v>0</v>
      </c>
      <c r="K5" s="27">
        <f t="shared" si="0"/>
        <v>3054</v>
      </c>
      <c r="L5" s="27">
        <f t="shared" si="0"/>
        <v>0</v>
      </c>
      <c r="M5" s="27">
        <f t="shared" si="0"/>
        <v>2774.54</v>
      </c>
      <c r="N5" s="27">
        <f t="shared" si="0"/>
        <v>0</v>
      </c>
      <c r="O5" s="27">
        <f t="shared" si="0"/>
        <v>20300</v>
      </c>
      <c r="P5" s="27">
        <f t="shared" si="0"/>
        <v>0</v>
      </c>
      <c r="Q5" s="27">
        <f t="shared" si="0"/>
        <v>74101</v>
      </c>
      <c r="R5" s="27">
        <f t="shared" si="0"/>
        <v>0</v>
      </c>
      <c r="S5" s="27">
        <f t="shared" si="0"/>
        <v>2300</v>
      </c>
      <c r="T5" s="27">
        <f t="shared" si="0"/>
        <v>0</v>
      </c>
      <c r="U5" s="27">
        <f t="shared" si="0"/>
        <v>18750</v>
      </c>
      <c r="V5" s="27">
        <f t="shared" si="0"/>
        <v>0</v>
      </c>
      <c r="W5" s="27">
        <f t="shared" si="0"/>
        <v>8400</v>
      </c>
      <c r="X5" s="27">
        <f t="shared" si="0"/>
        <v>0</v>
      </c>
      <c r="Y5" s="27">
        <f t="shared" si="0"/>
        <v>14850</v>
      </c>
      <c r="Z5" s="27">
        <f t="shared" si="0"/>
        <v>0</v>
      </c>
      <c r="AA5" s="27">
        <f t="shared" si="0"/>
        <v>38387.129999999997</v>
      </c>
      <c r="AB5" s="27">
        <f t="shared" si="0"/>
        <v>0</v>
      </c>
      <c r="AC5" s="27">
        <f t="shared" si="0"/>
        <v>38410.17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23.04</v>
      </c>
      <c r="AM5" s="27">
        <f t="shared" si="0"/>
        <v>0</v>
      </c>
      <c r="AN5" s="27">
        <f t="shared" si="0"/>
        <v>38387.129999999997</v>
      </c>
      <c r="AO5" s="27">
        <f t="shared" si="0"/>
        <v>0</v>
      </c>
      <c r="AP5" s="27">
        <f t="shared" si="0"/>
        <v>0</v>
      </c>
      <c r="AQ5" s="27">
        <f t="shared" si="0"/>
        <v>0</v>
      </c>
      <c r="AR5" s="27">
        <f t="shared" si="0"/>
        <v>0</v>
      </c>
      <c r="AS5" s="27">
        <f t="shared" si="0"/>
        <v>0</v>
      </c>
      <c r="AT5" s="27">
        <f t="shared" si="0"/>
        <v>0</v>
      </c>
      <c r="AU5" s="987"/>
      <c r="AV5" s="26" t="s">
        <v>159</v>
      </c>
      <c r="AW5" s="988"/>
      <c r="AX5" s="988"/>
      <c r="AY5" s="28" t="s">
        <v>3</v>
      </c>
      <c r="AZ5" s="29">
        <f t="shared" ref="AZ5:BT5" si="1">SUM(AZ13:AZ641)</f>
        <v>245924.74</v>
      </c>
      <c r="BA5" s="29">
        <f t="shared" si="1"/>
        <v>207514.57</v>
      </c>
      <c r="BB5" s="29">
        <f t="shared" si="1"/>
        <v>24597.9</v>
      </c>
      <c r="BC5" s="29">
        <f t="shared" si="1"/>
        <v>3054</v>
      </c>
      <c r="BD5" s="29">
        <f t="shared" si="1"/>
        <v>2774.54</v>
      </c>
      <c r="BE5" s="29">
        <f t="shared" si="1"/>
        <v>20300</v>
      </c>
      <c r="BF5" s="29">
        <f t="shared" si="1"/>
        <v>74101</v>
      </c>
      <c r="BG5" s="29">
        <f t="shared" si="1"/>
        <v>2300</v>
      </c>
      <c r="BH5" s="29">
        <f t="shared" si="1"/>
        <v>18750</v>
      </c>
      <c r="BI5" s="29">
        <f t="shared" si="1"/>
        <v>8400</v>
      </c>
      <c r="BJ5" s="29">
        <f t="shared" si="1"/>
        <v>14850</v>
      </c>
      <c r="BK5" s="29">
        <f t="shared" si="1"/>
        <v>38387.129999999997</v>
      </c>
      <c r="BL5" s="29">
        <f t="shared" si="1"/>
        <v>38410.17</v>
      </c>
      <c r="BM5" s="29">
        <f t="shared" si="1"/>
        <v>0</v>
      </c>
      <c r="BN5" s="29">
        <f t="shared" si="1"/>
        <v>0</v>
      </c>
      <c r="BO5" s="29">
        <f t="shared" si="1"/>
        <v>0</v>
      </c>
      <c r="BP5" s="29">
        <f t="shared" si="1"/>
        <v>0</v>
      </c>
      <c r="BQ5" s="29">
        <f t="shared" si="1"/>
        <v>23.04</v>
      </c>
      <c r="BR5" s="29">
        <f t="shared" si="1"/>
        <v>38387.129999999997</v>
      </c>
      <c r="BS5" s="29">
        <f t="shared" si="1"/>
        <v>0</v>
      </c>
      <c r="BT5" s="30">
        <f t="shared" si="1"/>
        <v>0</v>
      </c>
    </row>
    <row r="6" spans="1:72" s="37" customFormat="1" ht="12.75">
      <c r="A6" s="26" t="s">
        <v>160</v>
      </c>
      <c r="B6" s="31"/>
      <c r="C6" s="31"/>
      <c r="D6" s="32"/>
      <c r="E6" s="27">
        <f>H6+AC6+AT6</f>
        <v>86744.760000000009</v>
      </c>
      <c r="F6" s="27" t="s">
        <v>1</v>
      </c>
      <c r="G6" s="27" t="s">
        <v>2</v>
      </c>
      <c r="H6" s="33">
        <f>SUMIF(I$12:AB$12,"总值",I6:AB6)</f>
        <v>73196.38</v>
      </c>
      <c r="I6" s="27">
        <f t="shared" ref="I6:AB6" si="2">ROUND($A$3*I5/$B$3,2)</f>
        <v>8676.39</v>
      </c>
      <c r="J6" s="27">
        <f t="shared" si="2"/>
        <v>0</v>
      </c>
      <c r="K6" s="27">
        <f t="shared" si="2"/>
        <v>1077.23</v>
      </c>
      <c r="L6" s="27">
        <f t="shared" si="2"/>
        <v>0</v>
      </c>
      <c r="M6" s="27">
        <f t="shared" si="2"/>
        <v>978.66</v>
      </c>
      <c r="N6" s="27">
        <f t="shared" si="2"/>
        <v>0</v>
      </c>
      <c r="O6" s="27">
        <f t="shared" si="2"/>
        <v>7160.4</v>
      </c>
      <c r="P6" s="27">
        <f t="shared" si="2"/>
        <v>0</v>
      </c>
      <c r="Q6" s="27">
        <f t="shared" si="2"/>
        <v>26137.56</v>
      </c>
      <c r="R6" s="27">
        <f t="shared" si="2"/>
        <v>0</v>
      </c>
      <c r="S6" s="27">
        <f t="shared" si="2"/>
        <v>811.28</v>
      </c>
      <c r="T6" s="27">
        <f t="shared" si="2"/>
        <v>0</v>
      </c>
      <c r="U6" s="27">
        <f t="shared" si="2"/>
        <v>6613.67</v>
      </c>
      <c r="V6" s="27">
        <f t="shared" si="2"/>
        <v>0</v>
      </c>
      <c r="W6" s="27">
        <f t="shared" si="2"/>
        <v>2962.92</v>
      </c>
      <c r="X6" s="27">
        <f t="shared" si="2"/>
        <v>0</v>
      </c>
      <c r="Y6" s="27">
        <f t="shared" si="2"/>
        <v>5238.0200000000004</v>
      </c>
      <c r="Z6" s="27">
        <f t="shared" si="2"/>
        <v>0</v>
      </c>
      <c r="AA6" s="27">
        <f t="shared" si="2"/>
        <v>13540.25</v>
      </c>
      <c r="AB6" s="27">
        <f t="shared" si="2"/>
        <v>0</v>
      </c>
      <c r="AC6" s="33">
        <f>SUMIF(AD$12:AS$12,"总值",AD6:AS6)</f>
        <v>13548.38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8.1300000000000008</v>
      </c>
      <c r="AM6" s="27">
        <f t="shared" si="3"/>
        <v>0</v>
      </c>
      <c r="AN6" s="27">
        <f t="shared" si="3"/>
        <v>13540.25</v>
      </c>
      <c r="AO6" s="27">
        <f t="shared" si="3"/>
        <v>0</v>
      </c>
      <c r="AP6" s="27">
        <f t="shared" si="3"/>
        <v>0</v>
      </c>
      <c r="AQ6" s="27">
        <f t="shared" si="3"/>
        <v>0</v>
      </c>
      <c r="AR6" s="27">
        <f t="shared" si="3"/>
        <v>0</v>
      </c>
      <c r="AS6" s="27">
        <f t="shared" si="3"/>
        <v>0</v>
      </c>
      <c r="AT6" s="33">
        <f>IF(C3="是",ROUND($A$3*AT5/$B$3,2),0)</f>
        <v>0</v>
      </c>
      <c r="AU6" s="34"/>
      <c r="AV6" s="26" t="s">
        <v>160</v>
      </c>
      <c r="AW6" s="31"/>
      <c r="AX6" s="31"/>
      <c r="AY6" s="35">
        <f>IF(AY3&gt;0,AY3,ROUND($A$3*AZ5/$B$3,2))</f>
        <v>86744.76</v>
      </c>
      <c r="AZ6" s="27" t="s">
        <v>3</v>
      </c>
      <c r="BA6" s="27">
        <f>ROUND($AY$6*BA5/$AZ$5,2)</f>
        <v>73196.38</v>
      </c>
      <c r="BB6" s="27">
        <f>ROUND($AY$6*BB5/$AZ$5,2)</f>
        <v>8676.39</v>
      </c>
      <c r="BC6" s="27">
        <f t="shared" ref="BC6:BH6" si="4">ROUND($AY$6*BC5/$AZ$5,2)</f>
        <v>1077.23</v>
      </c>
      <c r="BD6" s="27">
        <f t="shared" si="4"/>
        <v>978.66</v>
      </c>
      <c r="BE6" s="27">
        <f t="shared" si="4"/>
        <v>7160.4</v>
      </c>
      <c r="BF6" s="27">
        <f t="shared" si="4"/>
        <v>26137.56</v>
      </c>
      <c r="BG6" s="27">
        <f t="shared" si="4"/>
        <v>811.28</v>
      </c>
      <c r="BH6" s="27">
        <f t="shared" si="4"/>
        <v>6613.67</v>
      </c>
      <c r="BI6" s="27">
        <f t="shared" ref="BI6:BT6" si="5">ROUND($AY$6*BI5/$AZ$5,2)</f>
        <v>2962.92</v>
      </c>
      <c r="BJ6" s="27">
        <f t="shared" si="5"/>
        <v>5238.0200000000004</v>
      </c>
      <c r="BK6" s="27">
        <f t="shared" si="5"/>
        <v>13540.25</v>
      </c>
      <c r="BL6" s="27">
        <f t="shared" si="5"/>
        <v>13548.38</v>
      </c>
      <c r="BM6" s="27">
        <f t="shared" si="5"/>
        <v>0</v>
      </c>
      <c r="BN6" s="27">
        <f t="shared" si="5"/>
        <v>0</v>
      </c>
      <c r="BO6" s="27">
        <f t="shared" si="5"/>
        <v>0</v>
      </c>
      <c r="BP6" s="27">
        <f t="shared" si="5"/>
        <v>0</v>
      </c>
      <c r="BQ6" s="27">
        <f t="shared" si="5"/>
        <v>8.1300000000000008</v>
      </c>
      <c r="BR6" s="27">
        <f t="shared" si="5"/>
        <v>13540.25</v>
      </c>
      <c r="BS6" s="27">
        <f t="shared" si="5"/>
        <v>0</v>
      </c>
      <c r="BT6" s="36">
        <f t="shared" si="5"/>
        <v>0</v>
      </c>
    </row>
    <row r="7" spans="1:72" s="18" customFormat="1" ht="24.75">
      <c r="A7" s="38" t="s">
        <v>161</v>
      </c>
      <c r="B7" s="38" t="s">
        <v>162</v>
      </c>
      <c r="C7" s="38" t="s">
        <v>163</v>
      </c>
      <c r="D7" s="38" t="s">
        <v>164</v>
      </c>
      <c r="E7" s="38" t="s">
        <v>165</v>
      </c>
      <c r="F7" s="38" t="s">
        <v>166</v>
      </c>
      <c r="G7" s="39" t="s">
        <v>167</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168</v>
      </c>
      <c r="AV7" s="41" t="s">
        <v>169</v>
      </c>
      <c r="AW7" s="42" t="s">
        <v>170</v>
      </c>
      <c r="AX7" s="41" t="s">
        <v>171</v>
      </c>
      <c r="AY7" s="988" t="s">
        <v>172</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173</v>
      </c>
      <c r="H8" s="47" t="s">
        <v>174</v>
      </c>
      <c r="I8" s="48"/>
      <c r="J8" s="1000"/>
      <c r="K8" s="1000"/>
      <c r="L8" s="1000"/>
      <c r="M8" s="1000"/>
      <c r="N8" s="1000"/>
      <c r="O8" s="1000"/>
      <c r="P8" s="1000"/>
      <c r="Q8" s="1000"/>
      <c r="R8" s="1000"/>
      <c r="S8" s="1000"/>
      <c r="T8" s="1000"/>
      <c r="U8" s="1000"/>
      <c r="V8" s="49"/>
      <c r="W8" s="1000"/>
      <c r="X8" s="1000"/>
      <c r="Y8" s="1000"/>
      <c r="Z8" s="1000"/>
      <c r="AA8" s="49"/>
      <c r="AB8" s="50"/>
      <c r="AC8" s="51" t="s">
        <v>175</v>
      </c>
      <c r="AD8" s="52"/>
      <c r="AE8" s="43"/>
      <c r="AF8" s="1000"/>
      <c r="AG8" s="1000"/>
      <c r="AH8" s="1000"/>
      <c r="AI8" s="1000"/>
      <c r="AJ8" s="1000"/>
      <c r="AK8" s="1000"/>
      <c r="AL8" s="1000"/>
      <c r="AM8" s="1000"/>
      <c r="AN8" s="1000"/>
      <c r="AO8" s="1000"/>
      <c r="AP8" s="1000"/>
      <c r="AQ8" s="1000"/>
      <c r="AR8" s="1000"/>
      <c r="AS8" s="2280"/>
      <c r="AT8" s="2311" t="s">
        <v>844</v>
      </c>
      <c r="AU8" s="45" t="s">
        <v>176</v>
      </c>
      <c r="AV8" s="55"/>
      <c r="AW8" s="1002"/>
      <c r="AX8" s="55"/>
      <c r="AY8" s="42" t="s">
        <v>177</v>
      </c>
      <c r="AZ8" s="999" t="s">
        <v>178</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179</v>
      </c>
      <c r="I9" s="2969" t="s">
        <v>3022</v>
      </c>
      <c r="J9" s="51"/>
      <c r="K9" s="2969" t="s">
        <v>3022</v>
      </c>
      <c r="L9" s="51"/>
      <c r="M9" s="2969" t="s">
        <v>3022</v>
      </c>
      <c r="N9" s="51"/>
      <c r="O9" s="59" t="s">
        <v>3022</v>
      </c>
      <c r="P9" s="51"/>
      <c r="Q9" s="59" t="s">
        <v>3022</v>
      </c>
      <c r="R9" s="51"/>
      <c r="S9" s="59" t="s">
        <v>3022</v>
      </c>
      <c r="T9" s="51"/>
      <c r="U9" s="59" t="s">
        <v>3022</v>
      </c>
      <c r="V9" s="51"/>
      <c r="W9" s="59" t="s">
        <v>3022</v>
      </c>
      <c r="X9" s="60"/>
      <c r="Y9" s="59" t="s">
        <v>3022</v>
      </c>
      <c r="Z9" s="51"/>
      <c r="AA9" s="59" t="s">
        <v>3114</v>
      </c>
      <c r="AB9" s="51"/>
      <c r="AC9" s="46" t="s">
        <v>179</v>
      </c>
      <c r="AD9" s="26" t="s">
        <v>180</v>
      </c>
      <c r="AE9" s="61"/>
      <c r="AF9" s="26" t="s">
        <v>181</v>
      </c>
      <c r="AG9" s="61"/>
      <c r="AH9" s="26" t="s">
        <v>182</v>
      </c>
      <c r="AI9" s="61"/>
      <c r="AJ9" s="26" t="s">
        <v>183</v>
      </c>
      <c r="AK9" s="61"/>
      <c r="AL9" s="26" t="s">
        <v>182</v>
      </c>
      <c r="AM9" s="61"/>
      <c r="AN9" s="26" t="s">
        <v>183</v>
      </c>
      <c r="AO9" s="61"/>
      <c r="AP9" s="1182" t="s">
        <v>182</v>
      </c>
      <c r="AQ9" s="1184"/>
      <c r="AR9" s="1182" t="s">
        <v>183</v>
      </c>
      <c r="AS9" s="2312"/>
      <c r="AT9" s="45"/>
      <c r="AU9" s="45" t="s">
        <v>185</v>
      </c>
      <c r="AV9" s="55"/>
      <c r="AW9" s="1002"/>
      <c r="AX9" s="55"/>
      <c r="AY9" s="62"/>
      <c r="AZ9" s="62" t="s">
        <v>186</v>
      </c>
      <c r="BA9" s="63" t="s">
        <v>187</v>
      </c>
      <c r="BB9" s="64"/>
      <c r="BC9" s="994"/>
      <c r="BD9" s="994"/>
      <c r="BE9" s="994"/>
      <c r="BF9" s="994"/>
      <c r="BG9" s="994"/>
      <c r="BH9" s="994"/>
      <c r="BI9" s="994"/>
      <c r="BJ9" s="994"/>
      <c r="BK9" s="65"/>
      <c r="BL9" s="26" t="s">
        <v>188</v>
      </c>
      <c r="BM9" s="1000"/>
      <c r="BN9" s="48"/>
      <c r="BO9" s="1000"/>
      <c r="BP9" s="1000"/>
      <c r="BQ9" s="1000"/>
      <c r="BR9" s="1000"/>
      <c r="BS9" s="1000"/>
      <c r="BT9" s="56"/>
    </row>
    <row r="10" spans="1:72" s="57" customFormat="1" ht="12.75">
      <c r="A10" s="45"/>
      <c r="B10" s="45"/>
      <c r="C10" s="45"/>
      <c r="D10" s="45"/>
      <c r="E10" s="45"/>
      <c r="F10" s="45"/>
      <c r="G10" s="55"/>
      <c r="H10" s="62"/>
      <c r="I10" s="2969" t="s">
        <v>1666</v>
      </c>
      <c r="J10" s="51"/>
      <c r="K10" s="2971" t="s">
        <v>1666</v>
      </c>
      <c r="L10" s="51"/>
      <c r="M10" s="2971" t="s">
        <v>1666</v>
      </c>
      <c r="N10" s="51"/>
      <c r="O10" s="66" t="s">
        <v>1666</v>
      </c>
      <c r="P10" s="51"/>
      <c r="Q10" s="66" t="s">
        <v>2989</v>
      </c>
      <c r="R10" s="51"/>
      <c r="S10" s="66" t="s">
        <v>2989</v>
      </c>
      <c r="T10" s="51"/>
      <c r="U10" s="66" t="s">
        <v>2989</v>
      </c>
      <c r="V10" s="51"/>
      <c r="W10" s="66" t="s">
        <v>2989</v>
      </c>
      <c r="X10" s="51"/>
      <c r="Y10" s="66" t="s">
        <v>2989</v>
      </c>
      <c r="Z10" s="51"/>
      <c r="AA10" s="66" t="s">
        <v>3115</v>
      </c>
      <c r="AB10" s="51"/>
      <c r="AC10" s="55"/>
      <c r="AD10" s="2297" t="s">
        <v>2303</v>
      </c>
      <c r="AE10" s="2319"/>
      <c r="AF10" s="2297" t="s">
        <v>2303</v>
      </c>
      <c r="AG10" s="2319"/>
      <c r="AH10" s="2297" t="s">
        <v>2304</v>
      </c>
      <c r="AI10" s="2319"/>
      <c r="AJ10" s="26" t="s">
        <v>2317</v>
      </c>
      <c r="AK10" s="2316"/>
      <c r="AL10" s="2297" t="s">
        <v>2305</v>
      </c>
      <c r="AM10" s="2298"/>
      <c r="AN10" s="26" t="s">
        <v>189</v>
      </c>
      <c r="AO10" s="61"/>
      <c r="AP10" s="1182" t="s">
        <v>190</v>
      </c>
      <c r="AQ10" s="1184"/>
      <c r="AR10" s="1182" t="s">
        <v>190</v>
      </c>
      <c r="AS10" s="1184"/>
      <c r="AT10" s="45"/>
      <c r="AU10" s="45"/>
      <c r="AV10" s="55"/>
      <c r="AW10" s="1002"/>
      <c r="AX10" s="55"/>
      <c r="AY10" s="62"/>
      <c r="AZ10" s="62"/>
      <c r="BA10" s="67" t="s">
        <v>184</v>
      </c>
      <c r="BB10" s="68" t="str">
        <f>I9</f>
        <v>地上</v>
      </c>
      <c r="BC10" s="69" t="str">
        <f>K9</f>
        <v>地上</v>
      </c>
      <c r="BD10" s="69" t="str">
        <f>M9</f>
        <v>地上</v>
      </c>
      <c r="BE10" s="69" t="str">
        <f>O9</f>
        <v>地上</v>
      </c>
      <c r="BF10" s="69" t="str">
        <f>Q9</f>
        <v>地上</v>
      </c>
      <c r="BG10" s="69" t="str">
        <f>S9</f>
        <v>地上</v>
      </c>
      <c r="BH10" s="69" t="str">
        <f>U9</f>
        <v>地上</v>
      </c>
      <c r="BI10" s="69" t="str">
        <f>W9</f>
        <v>地上</v>
      </c>
      <c r="BJ10" s="69" t="str">
        <f>Y9</f>
        <v>地上</v>
      </c>
      <c r="BK10" s="69" t="str">
        <f>AA9</f>
        <v>地下</v>
      </c>
      <c r="BL10" s="54" t="s">
        <v>184</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3094</v>
      </c>
      <c r="J11" s="71"/>
      <c r="K11" s="2970" t="s">
        <v>3096</v>
      </c>
      <c r="L11" s="71"/>
      <c r="M11" s="70" t="s">
        <v>3098</v>
      </c>
      <c r="N11" s="71"/>
      <c r="O11" s="70" t="s">
        <v>3084</v>
      </c>
      <c r="P11" s="71"/>
      <c r="Q11" s="70" t="s">
        <v>3086</v>
      </c>
      <c r="R11" s="71"/>
      <c r="S11" s="70" t="s">
        <v>3100</v>
      </c>
      <c r="T11" s="71"/>
      <c r="U11" s="70" t="s">
        <v>3088</v>
      </c>
      <c r="V11" s="71"/>
      <c r="W11" s="70" t="s">
        <v>3102</v>
      </c>
      <c r="X11" s="71"/>
      <c r="Y11" s="70" t="s">
        <v>3090</v>
      </c>
      <c r="Z11" s="71"/>
      <c r="AA11" s="70" t="s">
        <v>3115</v>
      </c>
      <c r="AB11" s="71"/>
      <c r="AC11" s="55"/>
      <c r="AD11" s="2317" t="s">
        <v>2316</v>
      </c>
      <c r="AE11" s="1001"/>
      <c r="AF11" s="2317" t="s">
        <v>2316</v>
      </c>
      <c r="AG11" s="1001"/>
      <c r="AH11" s="2317" t="s">
        <v>2315</v>
      </c>
      <c r="AI11" s="2318"/>
      <c r="AJ11" s="2317" t="s">
        <v>2315</v>
      </c>
      <c r="AK11" s="2316"/>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t="str">
        <f>M10</f>
        <v>办公</v>
      </c>
      <c r="BE11" s="50" t="str">
        <f>O10</f>
        <v>办公</v>
      </c>
      <c r="BF11" s="50" t="str">
        <f>Q10</f>
        <v>商业</v>
      </c>
      <c r="BG11" s="50" t="str">
        <f>S10</f>
        <v>商业</v>
      </c>
      <c r="BH11" s="50" t="str">
        <f>U10</f>
        <v>商业</v>
      </c>
      <c r="BI11" s="50" t="str">
        <f>W10</f>
        <v>商业</v>
      </c>
      <c r="BJ11" s="50" t="str">
        <f>Y10</f>
        <v>商业</v>
      </c>
      <c r="BK11" s="50" t="str">
        <f>AA10</f>
        <v>车库</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191</v>
      </c>
      <c r="J12" s="17" t="s">
        <v>192</v>
      </c>
      <c r="K12" s="17" t="s">
        <v>191</v>
      </c>
      <c r="L12" s="17" t="s">
        <v>192</v>
      </c>
      <c r="M12" s="17" t="s">
        <v>191</v>
      </c>
      <c r="N12" s="17" t="s">
        <v>192</v>
      </c>
      <c r="O12" s="17" t="s">
        <v>191</v>
      </c>
      <c r="P12" s="17" t="s">
        <v>192</v>
      </c>
      <c r="Q12" s="17" t="s">
        <v>191</v>
      </c>
      <c r="R12" s="17" t="s">
        <v>192</v>
      </c>
      <c r="S12" s="17" t="s">
        <v>191</v>
      </c>
      <c r="T12" s="17" t="s">
        <v>192</v>
      </c>
      <c r="U12" s="17" t="s">
        <v>191</v>
      </c>
      <c r="V12" s="987" t="s">
        <v>192</v>
      </c>
      <c r="W12" s="17" t="s">
        <v>191</v>
      </c>
      <c r="X12" s="17" t="s">
        <v>192</v>
      </c>
      <c r="Y12" s="17" t="s">
        <v>191</v>
      </c>
      <c r="Z12" s="17" t="s">
        <v>192</v>
      </c>
      <c r="AA12" s="17" t="s">
        <v>191</v>
      </c>
      <c r="AB12" s="17" t="s">
        <v>192</v>
      </c>
      <c r="AC12" s="75"/>
      <c r="AD12" s="995" t="s">
        <v>191</v>
      </c>
      <c r="AE12" s="17" t="s">
        <v>192</v>
      </c>
      <c r="AF12" s="17" t="s">
        <v>191</v>
      </c>
      <c r="AG12" s="17" t="s">
        <v>192</v>
      </c>
      <c r="AH12" s="17" t="s">
        <v>191</v>
      </c>
      <c r="AI12" s="17" t="s">
        <v>192</v>
      </c>
      <c r="AJ12" s="17" t="s">
        <v>191</v>
      </c>
      <c r="AK12" s="17" t="s">
        <v>192</v>
      </c>
      <c r="AL12" s="17" t="s">
        <v>191</v>
      </c>
      <c r="AM12" s="17" t="s">
        <v>192</v>
      </c>
      <c r="AN12" s="17" t="s">
        <v>191</v>
      </c>
      <c r="AO12" s="17" t="s">
        <v>192</v>
      </c>
      <c r="AP12" s="1181" t="s">
        <v>191</v>
      </c>
      <c r="AQ12" s="1181" t="s">
        <v>192</v>
      </c>
      <c r="AR12" s="1187" t="s">
        <v>191</v>
      </c>
      <c r="AS12" s="1186" t="s">
        <v>192</v>
      </c>
      <c r="AT12" s="76"/>
      <c r="AU12" s="72"/>
      <c r="AV12" s="77"/>
      <c r="AW12" s="42"/>
      <c r="AX12" s="77"/>
      <c r="AY12" s="78"/>
      <c r="AZ12" s="62"/>
      <c r="BA12" s="67"/>
      <c r="BB12" s="53" t="str">
        <f>I11</f>
        <v>自持办公</v>
      </c>
      <c r="BC12" s="79" t="str">
        <f>K11</f>
        <v>产业独栋</v>
      </c>
      <c r="BD12" s="79" t="str">
        <f>M11</f>
        <v>展示中心</v>
      </c>
      <c r="BE12" s="50" t="str">
        <f>O11</f>
        <v>高层办公</v>
      </c>
      <c r="BF12" s="50" t="str">
        <f>Q11</f>
        <v>销售公寓</v>
      </c>
      <c r="BG12" s="50" t="str">
        <f>S11</f>
        <v>人才公寓</v>
      </c>
      <c r="BH12" s="50" t="str">
        <f>U11</f>
        <v>合院办公</v>
      </c>
      <c r="BI12" s="50" t="str">
        <f>W11</f>
        <v>商墅</v>
      </c>
      <c r="BJ12" s="50" t="str">
        <f>Y11</f>
        <v>商业配套</v>
      </c>
      <c r="BK12" s="50" t="str">
        <f>AA11</f>
        <v>车库</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1667</v>
      </c>
      <c r="E13" s="27">
        <f t="shared" ref="E13:E20" si="6">IF($C$3="是",ROUND($A$3*G13/$B$3,2),ROUND($A$3*(G13-AT13)/$B$3,2))</f>
        <v>86744.76</v>
      </c>
      <c r="F13" s="81"/>
      <c r="G13" s="82">
        <f t="shared" ref="G13:G20" si="7">H13+AC13+AT13</f>
        <v>245924.74</v>
      </c>
      <c r="H13" s="33">
        <f t="shared" ref="H13:H20" si="8">SUMIF(I$12:AB$12,"总值",I13:AB13)</f>
        <v>207514.57</v>
      </c>
      <c r="I13" s="2968">
        <v>24597.9</v>
      </c>
      <c r="J13" s="2968"/>
      <c r="K13" s="2968">
        <v>3054</v>
      </c>
      <c r="L13" s="2968"/>
      <c r="M13" s="2968">
        <v>2774.54</v>
      </c>
      <c r="N13" s="83"/>
      <c r="O13" s="83">
        <v>20300</v>
      </c>
      <c r="P13" s="83"/>
      <c r="Q13" s="83">
        <v>74101</v>
      </c>
      <c r="R13" s="83"/>
      <c r="S13" s="83">
        <v>2300</v>
      </c>
      <c r="T13" s="83"/>
      <c r="U13" s="83">
        <v>18750</v>
      </c>
      <c r="V13" s="83"/>
      <c r="W13" s="83">
        <v>8400</v>
      </c>
      <c r="X13" s="83"/>
      <c r="Y13" s="83">
        <v>14850</v>
      </c>
      <c r="Z13" s="83"/>
      <c r="AA13" s="83">
        <f>Sheet1!$R$7+Sheet1!$R$19+Sheet1!$R$25</f>
        <v>38387.129999999997</v>
      </c>
      <c r="AB13" s="83"/>
      <c r="AC13" s="27">
        <f t="shared" ref="AC13:AC20" si="9">SUMIF(AD$12:AS$12,"总值",AD13:AS13)</f>
        <v>38410.17</v>
      </c>
      <c r="AD13" s="2972"/>
      <c r="AE13" s="2972"/>
      <c r="AF13" s="2972"/>
      <c r="AG13" s="2972"/>
      <c r="AH13" s="2972"/>
      <c r="AI13" s="2972"/>
      <c r="AJ13" s="2972"/>
      <c r="AK13" s="2972"/>
      <c r="AL13" s="2972">
        <f>Sheet1!K13</f>
        <v>23.04</v>
      </c>
      <c r="AM13" s="2972"/>
      <c r="AN13" s="2972">
        <f>Sheet1!K4+Sheet1!K14+Sheet1!K27</f>
        <v>38387.129999999997</v>
      </c>
      <c r="AO13" s="2972"/>
      <c r="AP13" s="2972"/>
      <c r="AQ13" s="2972"/>
      <c r="AR13" s="2972"/>
      <c r="AS13" s="2972"/>
      <c r="AT13" s="2973"/>
      <c r="AU13" s="2974"/>
      <c r="AV13" s="17">
        <f t="shared" ref="AV13:AX20" si="10">A13</f>
        <v>0</v>
      </c>
      <c r="AW13" s="17">
        <f t="shared" si="10"/>
        <v>0</v>
      </c>
      <c r="AX13" s="17">
        <f t="shared" si="10"/>
        <v>0</v>
      </c>
      <c r="AY13" s="995">
        <f t="shared" ref="AY13:AY20" si="11">ROUND($AY$6*AZ13/$AZ$5,2)</f>
        <v>86744.76</v>
      </c>
      <c r="AZ13" s="27">
        <f t="shared" ref="AZ13:AZ20" si="12">BA13+BL13</f>
        <v>245924.74</v>
      </c>
      <c r="BA13" s="27">
        <f t="shared" ref="BA13:BA20" si="13">SUM(BB13:BK13)</f>
        <v>207514.57</v>
      </c>
      <c r="BB13" s="27">
        <f t="shared" ref="BB13:BB20" si="14">IF($D13="是",I13-J13,0)</f>
        <v>24597.9</v>
      </c>
      <c r="BC13" s="27">
        <f t="shared" ref="BC13:BC20" si="15">IF($D13="是",K13-L13,0)</f>
        <v>3054</v>
      </c>
      <c r="BD13" s="27">
        <f t="shared" ref="BD13:BD20" si="16">IF($D13="是",M13-N13,0)</f>
        <v>2774.54</v>
      </c>
      <c r="BE13" s="27">
        <f t="shared" ref="BE13:BE20" si="17">IF($D13="是",O13-P13,0)</f>
        <v>20300</v>
      </c>
      <c r="BF13" s="27">
        <f t="shared" ref="BF13:BF20" si="18">IF($D13="是",Q13-R13,0)</f>
        <v>74101</v>
      </c>
      <c r="BG13" s="27">
        <f t="shared" ref="BG13:BG20" si="19">IF($D13="是",S13-T13,0)</f>
        <v>2300</v>
      </c>
      <c r="BH13" s="27">
        <f t="shared" ref="BH13:BH20" si="20">IF($D13="是",U13-V13,0)</f>
        <v>18750</v>
      </c>
      <c r="BI13" s="27">
        <f t="shared" ref="BI13:BI20" si="21">IF($D13="是",W13-X13,0)</f>
        <v>8400</v>
      </c>
      <c r="BJ13" s="27">
        <f t="shared" ref="BJ13:BJ20" si="22">IF($D13="是",Y13-Z13,0)</f>
        <v>14850</v>
      </c>
      <c r="BK13" s="27">
        <f t="shared" ref="BK13:BK20" si="23">IF($D13="是",AA13-AB13,0)</f>
        <v>38387.129999999997</v>
      </c>
      <c r="BL13" s="27">
        <f t="shared" ref="BL13:BL20" si="24">SUM(BM13:BT13)</f>
        <v>38410.17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23.04</v>
      </c>
      <c r="BR13" s="27">
        <f t="shared" ref="BR13:BR20" si="30">IF($D13="是",AN13-AO13,0)</f>
        <v>38387.129999999997</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tabSelected="1" zoomScale="90" zoomScaleNormal="90" zoomScaleSheetLayoutView="90" workbookViewId="0">
      <selection activeCell="L7" sqref="L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193</v>
      </c>
      <c r="B1" s="1967"/>
      <c r="C1" s="1967"/>
      <c r="D1" s="1967"/>
      <c r="E1" s="1967"/>
      <c r="F1" s="1967"/>
      <c r="G1" s="1967"/>
      <c r="H1" s="1967"/>
      <c r="I1" s="1967"/>
      <c r="J1" s="1967"/>
      <c r="K1" s="1967"/>
      <c r="L1" s="1967"/>
    </row>
    <row r="2" spans="1:16" ht="15">
      <c r="A2" s="3295" t="s">
        <v>194</v>
      </c>
      <c r="B2" s="3295"/>
      <c r="C2" s="3295"/>
      <c r="D2" s="1958" t="s">
        <v>195</v>
      </c>
      <c r="E2" s="106" t="s">
        <v>196</v>
      </c>
      <c r="F2" s="1967"/>
      <c r="G2" s="1193"/>
      <c r="H2" s="1194"/>
      <c r="I2" s="1195" t="s">
        <v>846</v>
      </c>
      <c r="J2" s="1967"/>
      <c r="K2" s="1967"/>
      <c r="L2" s="1967"/>
    </row>
    <row r="3" spans="1:16" ht="15.75" thickBot="1">
      <c r="A3" s="3296" t="s">
        <v>197</v>
      </c>
      <c r="B3" s="3296"/>
      <c r="C3" s="3296"/>
      <c r="D3" s="107">
        <f>'数据-基础表'!AY6</f>
        <v>86744.76</v>
      </c>
      <c r="E3" s="107">
        <f>'数据-基础表'!AZ5</f>
        <v>245924.74</v>
      </c>
      <c r="F3" s="1967"/>
      <c r="G3" s="280" t="s">
        <v>847</v>
      </c>
      <c r="H3" s="275" t="s">
        <v>848</v>
      </c>
      <c r="I3" s="1959">
        <f>ROUND('数据-基础表'!B3/'数据-基础表'!A3,2)</f>
        <v>2.84</v>
      </c>
      <c r="J3" s="1967"/>
      <c r="K3" s="1967"/>
      <c r="L3" s="1967"/>
    </row>
    <row r="4" spans="1:16" ht="15">
      <c r="A4" s="3297"/>
      <c r="B4" s="3298"/>
      <c r="C4" s="3299"/>
      <c r="D4" s="108" t="s">
        <v>195</v>
      </c>
      <c r="E4" s="109" t="s">
        <v>196</v>
      </c>
      <c r="F4" s="1967"/>
      <c r="G4" s="1196"/>
      <c r="H4" s="275" t="s">
        <v>849</v>
      </c>
      <c r="I4" s="1959">
        <f>ROUND(SUMIF('数据-基础表'!I9:AS9,"地上",'数据-基础表'!I5:AS5)/'数据-基础表'!A3,2)</f>
        <v>1.95</v>
      </c>
      <c r="J4" s="1967"/>
      <c r="K4" s="1967"/>
      <c r="L4" s="1967"/>
    </row>
    <row r="5" spans="1:16">
      <c r="A5" s="110" t="s">
        <v>198</v>
      </c>
      <c r="B5" s="3300" t="s">
        <v>221</v>
      </c>
      <c r="C5" s="3300"/>
      <c r="D5" s="111">
        <f>ROUND($D$3*E5/$E$3,2)</f>
        <v>0</v>
      </c>
      <c r="E5" s="112">
        <f>SUMIF('数据-基础表'!$11:$11,"住宅",'数据-基础表'!$5:$5)</f>
        <v>0</v>
      </c>
      <c r="F5" s="1967"/>
      <c r="G5" s="280" t="s">
        <v>850</v>
      </c>
      <c r="H5" s="275" t="s">
        <v>848</v>
      </c>
      <c r="I5" s="1959">
        <f>ROUND(E31/D31,2)</f>
        <v>2.84</v>
      </c>
      <c r="J5" s="1967"/>
      <c r="K5" s="1967"/>
      <c r="L5" s="1967"/>
    </row>
    <row r="6" spans="1:16" ht="15" thickBot="1">
      <c r="A6" s="113"/>
      <c r="B6" s="3300" t="s">
        <v>199</v>
      </c>
      <c r="C6" s="3300"/>
      <c r="D6" s="111">
        <f>ROUND($D$3*E6/$E$3,2)</f>
        <v>86744.76</v>
      </c>
      <c r="E6" s="112">
        <f>E3-E5</f>
        <v>245924.74</v>
      </c>
      <c r="F6" s="1967"/>
      <c r="G6" s="1196"/>
      <c r="H6" s="275" t="s">
        <v>849</v>
      </c>
      <c r="I6" s="1959">
        <f>ROUND(F31/D31,2)</f>
        <v>1.95</v>
      </c>
      <c r="J6" s="1967"/>
      <c r="K6" s="1967"/>
      <c r="L6" s="1967"/>
    </row>
    <row r="7" spans="1:16" ht="15">
      <c r="A7" s="3292"/>
      <c r="B7" s="3293"/>
      <c r="C7" s="3294"/>
      <c r="D7" s="108" t="s">
        <v>195</v>
      </c>
      <c r="E7" s="114" t="s">
        <v>222</v>
      </c>
      <c r="F7" s="1967"/>
      <c r="G7" s="1151" t="s">
        <v>1634</v>
      </c>
      <c r="H7" s="1152"/>
      <c r="I7" s="1829"/>
      <c r="J7" s="1967"/>
      <c r="K7" s="1967"/>
      <c r="L7" s="1967"/>
    </row>
    <row r="8" spans="1:16">
      <c r="A8" s="110" t="s">
        <v>200</v>
      </c>
      <c r="B8" s="115" t="s">
        <v>201</v>
      </c>
      <c r="C8" s="111" t="s">
        <v>202</v>
      </c>
      <c r="D8" s="111">
        <f t="shared" ref="D8:D15" si="0">ROUND($D$3*E8/$E$3,2)</f>
        <v>59656.13</v>
      </c>
      <c r="E8" s="116">
        <f>SUMIF('数据-基础表'!BB10:BK10,"地上",'数据-基础表'!BB5:BK5)</f>
        <v>169127.44</v>
      </c>
      <c r="F8" s="1967"/>
      <c r="G8" s="1969"/>
      <c r="H8" s="1969"/>
      <c r="I8" s="1967"/>
      <c r="J8" s="1967"/>
      <c r="K8" s="1967"/>
      <c r="L8" s="1967"/>
    </row>
    <row r="9" spans="1:16">
      <c r="A9" s="117"/>
      <c r="B9" s="118"/>
      <c r="C9" s="111" t="s">
        <v>203</v>
      </c>
      <c r="D9" s="111">
        <f t="shared" si="0"/>
        <v>0</v>
      </c>
      <c r="E9" s="119">
        <v>0</v>
      </c>
      <c r="F9" s="1967"/>
      <c r="G9" s="1969"/>
      <c r="H9" s="1969"/>
      <c r="I9" s="1967"/>
      <c r="J9" s="1967"/>
      <c r="K9" s="1967"/>
      <c r="L9" s="1967"/>
    </row>
    <row r="10" spans="1:16">
      <c r="A10" s="117"/>
      <c r="B10" s="118"/>
      <c r="C10" s="111" t="s">
        <v>204</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2313</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205</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2320</v>
      </c>
      <c r="D13" s="111">
        <f t="shared" si="0"/>
        <v>13540.25</v>
      </c>
      <c r="E13" s="116">
        <f>SUMPRODUCT(('数据-基础表'!BB10:BK10="地下")*('数据-基础表'!BB11:BK11="车库")*('数据-基础表'!BB5:BK5))</f>
        <v>38387.129999999997</v>
      </c>
      <c r="F13" s="1967"/>
      <c r="G13" s="1969"/>
      <c r="H13" s="1969"/>
      <c r="I13" s="1967"/>
      <c r="J13" s="1967"/>
      <c r="K13" s="1967"/>
      <c r="L13" s="1967"/>
    </row>
    <row r="14" spans="1:16">
      <c r="A14" s="117"/>
      <c r="B14" s="118"/>
      <c r="C14" s="111" t="s">
        <v>223</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224</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206</v>
      </c>
      <c r="D16" s="115">
        <f>SUM(D8:D15)</f>
        <v>73196.38</v>
      </c>
      <c r="E16" s="120">
        <f>SUM(E8:E15)</f>
        <v>207514.57</v>
      </c>
      <c r="F16" s="1967"/>
      <c r="G16" s="1969"/>
      <c r="H16" s="967" t="s">
        <v>210</v>
      </c>
      <c r="I16" s="968"/>
      <c r="J16" s="1967"/>
      <c r="K16" s="3286" t="s">
        <v>2552</v>
      </c>
      <c r="L16" s="3287"/>
      <c r="M16" s="3287"/>
      <c r="N16" s="3287"/>
      <c r="O16" s="3287"/>
      <c r="P16" s="3288"/>
    </row>
    <row r="17" spans="1:19" ht="15">
      <c r="A17" s="121" t="s">
        <v>207</v>
      </c>
      <c r="B17" s="122" t="s">
        <v>208</v>
      </c>
      <c r="C17" s="2281" t="s">
        <v>2299</v>
      </c>
      <c r="D17" s="108" t="s">
        <v>195</v>
      </c>
      <c r="E17" s="124" t="s">
        <v>196</v>
      </c>
      <c r="F17" s="125"/>
      <c r="G17" s="1360"/>
      <c r="H17" s="969" t="s">
        <v>209</v>
      </c>
      <c r="I17" s="970" t="s">
        <v>2298</v>
      </c>
      <c r="J17" s="1967"/>
      <c r="K17" s="3289" t="s">
        <v>2553</v>
      </c>
      <c r="L17" s="3290"/>
      <c r="M17" s="3291"/>
      <c r="N17" s="3289" t="s">
        <v>2554</v>
      </c>
      <c r="O17" s="3290"/>
      <c r="P17" s="3291"/>
      <c r="R17" s="2282" t="s">
        <v>2297</v>
      </c>
      <c r="S17" s="144"/>
    </row>
    <row r="18" spans="1:19" ht="15">
      <c r="A18" s="117"/>
      <c r="B18" s="128"/>
      <c r="C18" s="129"/>
      <c r="D18" s="2604"/>
      <c r="E18" s="130" t="s">
        <v>211</v>
      </c>
      <c r="F18" s="131" t="s">
        <v>212</v>
      </c>
      <c r="G18" s="1361" t="s">
        <v>213</v>
      </c>
      <c r="H18" s="971" t="s">
        <v>214</v>
      </c>
      <c r="I18" s="972" t="s">
        <v>215</v>
      </c>
      <c r="J18" s="1967"/>
      <c r="K18" s="2567" t="s">
        <v>2555</v>
      </c>
      <c r="L18" s="2568" t="s">
        <v>2556</v>
      </c>
      <c r="M18" s="2569" t="s">
        <v>2557</v>
      </c>
      <c r="N18" s="2567" t="s">
        <v>2555</v>
      </c>
      <c r="O18" s="2568" t="s">
        <v>2556</v>
      </c>
      <c r="P18" s="2569" t="s">
        <v>2557</v>
      </c>
      <c r="R18" s="2283" t="s">
        <v>2295</v>
      </c>
      <c r="S18" s="2283" t="s">
        <v>2296</v>
      </c>
    </row>
    <row r="19" spans="1:19">
      <c r="A19" s="133"/>
      <c r="B19" s="115" t="s">
        <v>216</v>
      </c>
      <c r="C19" s="2975" t="s">
        <v>3128</v>
      </c>
      <c r="D19" s="111">
        <f t="shared" ref="D19:D26" si="1">ROUND($D$3*E19/$E$3,2)</f>
        <v>8676.39</v>
      </c>
      <c r="E19" s="134">
        <f t="shared" ref="E19:E26" si="2">SUM(F19:G19)</f>
        <v>24597.9</v>
      </c>
      <c r="F19" s="135">
        <f>'数据-基础表'!I13</f>
        <v>24597.9</v>
      </c>
      <c r="G19" s="1362"/>
      <c r="H19" s="973">
        <f>ROUND($D$3*I19/$E$3,2)</f>
        <v>1605.97</v>
      </c>
      <c r="I19" s="116">
        <f>IF($I$17="自定义",P19,M19)</f>
        <v>4552.9799999999996</v>
      </c>
      <c r="J19" s="1967"/>
      <c r="K19" s="2570">
        <f t="shared" ref="K19:K26" si="3">ROUND(E$28*E19/E$27,2)</f>
        <v>4552.9799999999996</v>
      </c>
      <c r="L19" s="275">
        <f t="shared" ref="L19:L26" si="4">ROUND(IF(COUNTIF(C19,"*住宅*")&gt;0,E$29*E19/E$32,0),2)</f>
        <v>0</v>
      </c>
      <c r="M19" s="2571">
        <f>K19+L19</f>
        <v>4552.9799999999996</v>
      </c>
      <c r="N19" s="2572"/>
      <c r="O19" s="2573"/>
      <c r="P19" s="2574">
        <f>N19+O19</f>
        <v>0</v>
      </c>
      <c r="R19" s="275">
        <f t="shared" ref="R19:S26" si="5">D19+H19</f>
        <v>10282.359999999999</v>
      </c>
      <c r="S19" s="2284">
        <f t="shared" si="5"/>
        <v>29150.880000000001</v>
      </c>
    </row>
    <row r="20" spans="1:19">
      <c r="A20" s="138"/>
      <c r="B20" s="115" t="s">
        <v>217</v>
      </c>
      <c r="C20" s="2975" t="s">
        <v>3117</v>
      </c>
      <c r="D20" s="111">
        <f t="shared" si="1"/>
        <v>26948.84</v>
      </c>
      <c r="E20" s="134">
        <f t="shared" si="2"/>
        <v>76401</v>
      </c>
      <c r="F20" s="135">
        <f>'数据-基础表'!Q13+'数据-基础表'!S13</f>
        <v>76401</v>
      </c>
      <c r="G20" s="1362"/>
      <c r="H20" s="973">
        <f t="shared" ref="H20:H26" si="6">ROUND($D$3*I20/$E$3,2)</f>
        <v>4988.13</v>
      </c>
      <c r="I20" s="116">
        <f t="shared" ref="I20:I26" si="7">IF($I$17="自定义",P20,M20)</f>
        <v>14141.54</v>
      </c>
      <c r="J20" s="1967"/>
      <c r="K20" s="2570">
        <f t="shared" si="3"/>
        <v>14141.54</v>
      </c>
      <c r="L20" s="275">
        <f t="shared" si="4"/>
        <v>0</v>
      </c>
      <c r="M20" s="2571">
        <f t="shared" ref="M20:M26" si="8">K20+L20</f>
        <v>14141.54</v>
      </c>
      <c r="N20" s="2572"/>
      <c r="O20" s="2573"/>
      <c r="P20" s="2574">
        <f t="shared" ref="P20:P26" si="9">N20+O20</f>
        <v>0</v>
      </c>
      <c r="R20" s="275">
        <f t="shared" si="5"/>
        <v>31936.97</v>
      </c>
      <c r="S20" s="2284">
        <f t="shared" si="5"/>
        <v>90542.540000000008</v>
      </c>
    </row>
    <row r="21" spans="1:19">
      <c r="A21" s="138"/>
      <c r="B21" s="115" t="s">
        <v>217</v>
      </c>
      <c r="C21" s="2975" t="s">
        <v>3024</v>
      </c>
      <c r="D21" s="111">
        <f t="shared" si="1"/>
        <v>5238.0200000000004</v>
      </c>
      <c r="E21" s="134">
        <f t="shared" si="2"/>
        <v>14850</v>
      </c>
      <c r="F21" s="135">
        <f>'数据-基础表'!Y13</f>
        <v>14850</v>
      </c>
      <c r="G21" s="1362"/>
      <c r="H21" s="973">
        <f t="shared" si="6"/>
        <v>969.54</v>
      </c>
      <c r="I21" s="116">
        <f t="shared" si="7"/>
        <v>2748.68</v>
      </c>
      <c r="J21" s="1967"/>
      <c r="K21" s="2570">
        <f t="shared" si="3"/>
        <v>2748.68</v>
      </c>
      <c r="L21" s="275">
        <f t="shared" si="4"/>
        <v>0</v>
      </c>
      <c r="M21" s="2571">
        <f t="shared" si="8"/>
        <v>2748.68</v>
      </c>
      <c r="N21" s="2572"/>
      <c r="O21" s="2573"/>
      <c r="P21" s="2574">
        <f t="shared" si="9"/>
        <v>0</v>
      </c>
      <c r="R21" s="275">
        <f t="shared" si="5"/>
        <v>6207.56</v>
      </c>
      <c r="S21" s="2284">
        <f t="shared" si="5"/>
        <v>17598.68</v>
      </c>
    </row>
    <row r="22" spans="1:19">
      <c r="A22" s="138"/>
      <c r="B22" s="115" t="s">
        <v>217</v>
      </c>
      <c r="C22" s="3213" t="s">
        <v>3124</v>
      </c>
      <c r="D22" s="111">
        <f t="shared" si="1"/>
        <v>9576.59</v>
      </c>
      <c r="E22" s="134">
        <f t="shared" si="2"/>
        <v>27150</v>
      </c>
      <c r="F22" s="140">
        <f>'数据-基础表'!U13+'数据-基础表'!W13</f>
        <v>27150</v>
      </c>
      <c r="G22" s="1363"/>
      <c r="H22" s="973">
        <f t="shared" si="6"/>
        <v>1772.59</v>
      </c>
      <c r="I22" s="116">
        <f t="shared" si="7"/>
        <v>5025.3599999999997</v>
      </c>
      <c r="J22" s="1967"/>
      <c r="K22" s="2570">
        <f t="shared" si="3"/>
        <v>5025.3599999999997</v>
      </c>
      <c r="L22" s="275">
        <f t="shared" si="4"/>
        <v>0</v>
      </c>
      <c r="M22" s="2571">
        <f t="shared" si="8"/>
        <v>5025.3599999999997</v>
      </c>
      <c r="N22" s="2572"/>
      <c r="O22" s="2573"/>
      <c r="P22" s="2574">
        <f t="shared" si="9"/>
        <v>0</v>
      </c>
      <c r="R22" s="275">
        <f t="shared" si="5"/>
        <v>11349.18</v>
      </c>
      <c r="S22" s="2284">
        <f t="shared" si="5"/>
        <v>32175.360000000001</v>
      </c>
    </row>
    <row r="23" spans="1:19">
      <c r="A23" s="138"/>
      <c r="B23" s="115" t="s">
        <v>217</v>
      </c>
      <c r="C23" s="3213" t="s">
        <v>3125</v>
      </c>
      <c r="D23" s="111">
        <f>ROUND($D$3*E23/$E$3,2)</f>
        <v>13540.25</v>
      </c>
      <c r="E23" s="134">
        <f>SUM(F23:G23)</f>
        <v>38387.129999999997</v>
      </c>
      <c r="F23" s="140"/>
      <c r="G23" s="1363">
        <f>'数据-基础表'!AA13</f>
        <v>38387.129999999997</v>
      </c>
      <c r="H23" s="973">
        <f>ROUND($D$3*I23/$E$3,2)</f>
        <v>2506.25</v>
      </c>
      <c r="I23" s="116">
        <f t="shared" si="7"/>
        <v>7105.31</v>
      </c>
      <c r="J23" s="1967"/>
      <c r="K23" s="2570">
        <f t="shared" si="3"/>
        <v>7105.31</v>
      </c>
      <c r="L23" s="275">
        <f t="shared" si="4"/>
        <v>0</v>
      </c>
      <c r="M23" s="2571">
        <f t="shared" si="8"/>
        <v>7105.31</v>
      </c>
      <c r="N23" s="2572"/>
      <c r="O23" s="2573"/>
      <c r="P23" s="2574">
        <f t="shared" si="9"/>
        <v>0</v>
      </c>
      <c r="R23" s="275">
        <f t="shared" si="5"/>
        <v>16046.5</v>
      </c>
      <c r="S23" s="2284">
        <f t="shared" si="5"/>
        <v>45492.439999999995</v>
      </c>
    </row>
    <row r="24" spans="1:19">
      <c r="A24" s="138"/>
      <c r="B24" s="115" t="s">
        <v>217</v>
      </c>
      <c r="C24" s="3213" t="s">
        <v>3116</v>
      </c>
      <c r="D24" s="111">
        <f>ROUND($D$3*E24/$E$3,2)</f>
        <v>9216.2900000000009</v>
      </c>
      <c r="E24" s="134">
        <f>SUM(F24:G24)</f>
        <v>26128.54</v>
      </c>
      <c r="F24" s="140">
        <f>'数据-基础表'!K13+'数据-基础表'!M13+'数据-基础表'!O13</f>
        <v>26128.54</v>
      </c>
      <c r="G24" s="1363"/>
      <c r="H24" s="973">
        <f>ROUND($D$3*I24/$E$3,2)</f>
        <v>1705.9</v>
      </c>
      <c r="I24" s="116">
        <f t="shared" si="7"/>
        <v>4836.29</v>
      </c>
      <c r="J24" s="1967"/>
      <c r="K24" s="2570">
        <f t="shared" si="3"/>
        <v>4836.29</v>
      </c>
      <c r="L24" s="275">
        <f t="shared" si="4"/>
        <v>0</v>
      </c>
      <c r="M24" s="2571">
        <f t="shared" si="8"/>
        <v>4836.29</v>
      </c>
      <c r="N24" s="2572"/>
      <c r="O24" s="2573"/>
      <c r="P24" s="2574">
        <f t="shared" si="9"/>
        <v>0</v>
      </c>
      <c r="R24" s="275">
        <f t="shared" si="5"/>
        <v>10922.19</v>
      </c>
      <c r="S24" s="2284">
        <f t="shared" si="5"/>
        <v>30964.83</v>
      </c>
    </row>
    <row r="25" spans="1:19">
      <c r="A25" s="138"/>
      <c r="B25" s="115" t="s">
        <v>217</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217</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206</v>
      </c>
      <c r="D27" s="134">
        <f>SUM(D19:D26)</f>
        <v>73196.38</v>
      </c>
      <c r="E27" s="143">
        <f>IF(SUM(E19:E26)='数据-基础表'!BA5,SUM(E19:E26),IF(F27="地上面积有误","面积有误","地下面积有误"))</f>
        <v>207514.57</v>
      </c>
      <c r="F27" s="134">
        <f>IF(SUM(F19:F26)=E8,SUM(F19:F26),"地上面积有误")</f>
        <v>169127.44</v>
      </c>
      <c r="G27" s="112">
        <f>SUM(G19:G26)</f>
        <v>38387.129999999997</v>
      </c>
      <c r="H27" s="974">
        <f>SUM(H19:H26)</f>
        <v>13548.38</v>
      </c>
      <c r="I27" s="975">
        <f>SUM(I19:I26)</f>
        <v>38410.160000000003</v>
      </c>
      <c r="J27" s="1967"/>
      <c r="K27" s="2579">
        <f>SUM(K19:K26)</f>
        <v>38410.160000000003</v>
      </c>
      <c r="L27" s="2580">
        <f>SUM(L19:L26)</f>
        <v>0</v>
      </c>
      <c r="M27" s="2581">
        <f>SUM(M19:M26)</f>
        <v>38410.160000000003</v>
      </c>
      <c r="N27" s="2579">
        <f t="shared" ref="N27:O27" si="10">SUM(N19:N26)</f>
        <v>0</v>
      </c>
      <c r="O27" s="2580">
        <f t="shared" si="10"/>
        <v>0</v>
      </c>
      <c r="P27" s="2582">
        <f>SUM(P19:P26)</f>
        <v>0</v>
      </c>
      <c r="R27" s="2288">
        <f>IF(SUM(R19:R26)=$D$3,SUM(R19:R26),SUM(R19:R26)&amp;"误差"&amp;ROUND(SUM(R19:R26)-$D$3,2))</f>
        <v>86744.760000000009</v>
      </c>
      <c r="S27" s="275" t="str">
        <f>IF(SUM(S19:S26)=$E$3,SUM(S19:S26),SUM(S19:S26)&amp;"误差"&amp;ROUND(SUM(S19:S26)-E3,2))</f>
        <v>245924.73误差-0.01</v>
      </c>
    </row>
    <row r="28" spans="1:19">
      <c r="A28" s="138"/>
      <c r="B28" s="115" t="s">
        <v>218</v>
      </c>
      <c r="C28" s="136" t="s">
        <v>219</v>
      </c>
      <c r="D28" s="111">
        <f>ROUND($D$3*E28/$E$3,2)</f>
        <v>13548.38</v>
      </c>
      <c r="E28" s="134">
        <f>SUM(F28:G28)</f>
        <v>38410.17</v>
      </c>
      <c r="F28" s="144">
        <f>'数据-基础表'!BQ5+'数据-基础表'!BS5</f>
        <v>23.04</v>
      </c>
      <c r="G28" s="145">
        <f>'数据-基础表'!BR5+'数据-基础表'!BT5</f>
        <v>38387.129999999997</v>
      </c>
      <c r="H28" s="1967"/>
      <c r="I28" s="1967"/>
      <c r="J28" s="1967"/>
      <c r="K28" s="1967"/>
      <c r="L28" s="1967"/>
    </row>
    <row r="29" spans="1:19">
      <c r="A29" s="138"/>
      <c r="B29" s="115" t="s">
        <v>218</v>
      </c>
      <c r="C29" s="2296" t="s">
        <v>2306</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206</v>
      </c>
      <c r="D30" s="134">
        <f>SUM(D28:D29)</f>
        <v>13548.38</v>
      </c>
      <c r="E30" s="134">
        <f>SUM(E28:E29)</f>
        <v>38410.17</v>
      </c>
      <c r="F30" s="134">
        <f>SUM(F28:F29)</f>
        <v>23.04</v>
      </c>
      <c r="G30" s="112">
        <f>SUM(G28:G29)</f>
        <v>38387.129999999997</v>
      </c>
      <c r="H30" s="1967"/>
      <c r="I30" s="1967"/>
      <c r="J30" s="1967"/>
      <c r="K30" s="1967"/>
      <c r="L30" s="1967"/>
    </row>
    <row r="31" spans="1:19" ht="32.25" customHeight="1" thickBot="1">
      <c r="A31" s="1364"/>
      <c r="B31" s="1365" t="s">
        <v>220</v>
      </c>
      <c r="C31" s="2313" t="s">
        <v>2308</v>
      </c>
      <c r="D31" s="1366">
        <f>D27+D30</f>
        <v>86744.760000000009</v>
      </c>
      <c r="E31" s="1366">
        <f>E27+E30</f>
        <v>245924.74</v>
      </c>
      <c r="F31" s="1367">
        <f>F27+F30</f>
        <v>169150.48</v>
      </c>
      <c r="G31" s="1368">
        <f>G27+G30</f>
        <v>76774.259999999995</v>
      </c>
      <c r="H31" s="1967"/>
      <c r="I31" s="1967"/>
      <c r="J31" s="1967"/>
      <c r="K31" s="1967"/>
      <c r="L31" s="1967"/>
    </row>
    <row r="32" spans="1:19">
      <c r="A32" s="1967"/>
      <c r="B32" s="2325" t="s">
        <v>2307</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I11" sqref="I1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225</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226</v>
      </c>
      <c r="B2" s="2321">
        <f>项目基本情况!D3</f>
        <v>43998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853</v>
      </c>
      <c r="B4" s="152"/>
      <c r="C4" s="153"/>
      <c r="D4" s="1203"/>
      <c r="E4" s="1204" t="s">
        <v>854</v>
      </c>
      <c r="F4" s="153"/>
      <c r="G4" s="153"/>
      <c r="H4" s="153"/>
      <c r="I4" s="153"/>
      <c r="J4" s="154"/>
      <c r="K4" s="1205"/>
      <c r="L4" s="1206"/>
      <c r="M4" s="153"/>
      <c r="N4" s="1204" t="s">
        <v>855</v>
      </c>
      <c r="O4" s="153"/>
      <c r="P4" s="153"/>
      <c r="Q4" s="153"/>
      <c r="R4" s="153"/>
      <c r="S4" s="154"/>
      <c r="T4" s="976" t="str">
        <f>'数据-汇总表'!I17</f>
        <v>按面积比例</v>
      </c>
      <c r="U4" s="152" t="s">
        <v>856</v>
      </c>
      <c r="V4" s="153"/>
      <c r="W4" s="153"/>
      <c r="X4" s="153"/>
      <c r="Y4" s="154"/>
      <c r="Z4" s="123" t="s">
        <v>857</v>
      </c>
      <c r="AA4" s="123"/>
      <c r="AB4" s="123"/>
      <c r="AC4" s="123"/>
      <c r="AD4" s="123"/>
      <c r="AE4" s="121" t="s">
        <v>858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2310</v>
      </c>
      <c r="B5" s="156" t="s">
        <v>227</v>
      </c>
      <c r="C5" s="157" t="s">
        <v>228</v>
      </c>
      <c r="D5" s="158" t="s">
        <v>229</v>
      </c>
      <c r="E5" s="159" t="s">
        <v>230</v>
      </c>
      <c r="F5" s="160" t="s">
        <v>231</v>
      </c>
      <c r="G5" s="159" t="s">
        <v>232</v>
      </c>
      <c r="H5" s="159" t="s">
        <v>851</v>
      </c>
      <c r="I5" s="159" t="s">
        <v>852</v>
      </c>
      <c r="J5" s="161" t="s">
        <v>233</v>
      </c>
      <c r="K5" s="162" t="s">
        <v>234</v>
      </c>
      <c r="L5" s="163" t="s">
        <v>235</v>
      </c>
      <c r="M5" s="164" t="s">
        <v>236</v>
      </c>
      <c r="N5" s="1214" t="s">
        <v>2813</v>
      </c>
      <c r="O5" s="163" t="s">
        <v>237</v>
      </c>
      <c r="P5" s="165" t="s">
        <v>238</v>
      </c>
      <c r="Q5" s="166" t="s">
        <v>239</v>
      </c>
      <c r="R5" s="167" t="s">
        <v>240</v>
      </c>
      <c r="S5" s="2583" t="s">
        <v>2558</v>
      </c>
      <c r="T5" s="168" t="s">
        <v>241</v>
      </c>
      <c r="U5" s="169" t="s">
        <v>242</v>
      </c>
      <c r="V5" s="159" t="s">
        <v>243</v>
      </c>
      <c r="W5" s="159" t="s">
        <v>244</v>
      </c>
      <c r="X5" s="1801"/>
      <c r="Y5" s="170" t="s">
        <v>245</v>
      </c>
      <c r="Z5" s="171" t="s">
        <v>246</v>
      </c>
      <c r="AA5" s="159" t="s">
        <v>243</v>
      </c>
      <c r="AB5" s="159" t="s">
        <v>244</v>
      </c>
      <c r="AC5" s="1802"/>
      <c r="AD5" s="172" t="s">
        <v>245</v>
      </c>
      <c r="AE5" s="1" t="s">
        <v>859</v>
      </c>
      <c r="AF5" s="159" t="s">
        <v>247</v>
      </c>
      <c r="AG5" s="170" t="s">
        <v>248</v>
      </c>
      <c r="AH5" s="1802" t="s">
        <v>2309</v>
      </c>
      <c r="AI5" s="171" t="s">
        <v>2278</v>
      </c>
      <c r="AJ5" s="171" t="s">
        <v>249</v>
      </c>
      <c r="AK5" s="159" t="s">
        <v>250</v>
      </c>
      <c r="AL5" s="159" t="s">
        <v>251</v>
      </c>
      <c r="AM5" s="172" t="s">
        <v>252</v>
      </c>
      <c r="AN5" s="2353" t="s">
        <v>2359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自持办公</v>
      </c>
      <c r="B6" s="2320" t="str">
        <f>IF(A6=0,"","经营性")</f>
        <v>经营性</v>
      </c>
      <c r="C6" s="173" t="s">
        <v>2989</v>
      </c>
      <c r="D6" s="2291">
        <f>SUMIF(项目基本情况!D$15:I$15,C6,项目基本情况!D$18:I$18)</f>
        <v>40</v>
      </c>
      <c r="E6" s="2292">
        <f>IF(B6="","",SUMIF(项目基本情况!D$15:I$15,C6,项目基本情况!D$17:I$17))</f>
        <v>58155</v>
      </c>
      <c r="F6" s="174">
        <f>SUMIF(项目基本情况!D$15:I$15,C6,项目基本情况!D$19:I$19)</f>
        <v>38.78</v>
      </c>
      <c r="G6" s="175">
        <f>IF(ISERROR(ROUND(POWER(1+H6,D6-F6)*(POWER(1+H6,F6)-1)/(POWER(1+H6,D6)-1),3)),0,ROUND(POWER(1+H6,D6-F6)*(POWER(1+H6,F6)-1)/(POWER(1+H6,D6)-1),3))</f>
        <v>0.99</v>
      </c>
      <c r="H6" s="2976">
        <v>0.05</v>
      </c>
      <c r="I6" s="2976">
        <v>5.5E-2</v>
      </c>
      <c r="J6" s="176">
        <v>8.5000000000000006E-2</v>
      </c>
      <c r="K6" s="179">
        <f>SUMIF('数据-汇总表'!C$19:C$33,'数据-取费表'!A6,'数据-汇总表'!E$19:E$33)</f>
        <v>24597.9</v>
      </c>
      <c r="L6" s="2977">
        <v>3000</v>
      </c>
      <c r="M6" s="177">
        <f t="shared" ref="M6:M14" si="0">ROUND(K6*L6/10000,0)</f>
        <v>7379</v>
      </c>
      <c r="N6" s="2978">
        <v>0</v>
      </c>
      <c r="O6" s="177">
        <f>IF($N$5="成新度","——",ROUND(M6*N6,0))</f>
        <v>0</v>
      </c>
      <c r="P6" s="178">
        <f>IF($N$5="成新度","——",M6-O6)</f>
        <v>7379</v>
      </c>
      <c r="Q6" s="2979">
        <v>0.2</v>
      </c>
      <c r="R6" s="179">
        <f>SUMIF('数据-汇总表'!C$19:C$33,A6,'数据-汇总表'!R$19:R$33)</f>
        <v>10282.359999999999</v>
      </c>
      <c r="S6" s="132">
        <f>IF('数据-汇总表'!$I$17="按面积比例",SUMIF('数据-汇总表'!C$19:C$33,A6,'数据-汇总表'!K$19:K$33),SUMIF('数据-汇总表'!C$19:C$33,A6,'数据-汇总表'!N$19:N$33))</f>
        <v>4552.9799999999996</v>
      </c>
      <c r="T6" s="2217">
        <f>IF($T$4="按面积比例",IF(ISERROR(ROUND($M$14*S6/S$16,0)),"0",ROUND($M$14*S6/S$16,0)),"需自行计算录入")</f>
        <v>1366</v>
      </c>
      <c r="U6" s="180">
        <v>1</v>
      </c>
      <c r="V6" s="181">
        <v>0.03</v>
      </c>
      <c r="W6" s="181">
        <v>0.1</v>
      </c>
      <c r="X6" s="2304"/>
      <c r="Y6" s="182">
        <v>1</v>
      </c>
      <c r="Z6" s="183"/>
      <c r="AA6" s="176"/>
      <c r="AB6" s="176"/>
      <c r="AC6" s="2307"/>
      <c r="AD6" s="184"/>
      <c r="AE6" s="971">
        <f ca="1">IF(AN6="",0,SUMIF(INDIRECT("'"&amp;AN6&amp;"'"&amp;"!E:E"),$AE$5,INDIRECT("'"&amp;AN6&amp;"'"&amp;"!F:F")))</f>
        <v>36.78</v>
      </c>
      <c r="AF6" s="141"/>
      <c r="AG6" s="1208">
        <f>IF(AF6="",0,AE6-AF6)</f>
        <v>0</v>
      </c>
      <c r="AH6" s="141"/>
      <c r="AI6" s="187">
        <v>365</v>
      </c>
      <c r="AJ6" s="188"/>
      <c r="AK6" s="189">
        <v>1.4999999999999999E-2</v>
      </c>
      <c r="AL6" s="190">
        <v>1.5E-3</v>
      </c>
      <c r="AM6" s="2990">
        <v>0.02</v>
      </c>
      <c r="AN6" s="2354" t="s">
        <v>3118</v>
      </c>
      <c r="AO6" s="1983"/>
      <c r="AP6" s="1199">
        <f>ROUND(1-1/(1+H6)^F6,3)</f>
        <v>0.84899999999999998</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公寓</v>
      </c>
      <c r="B7" s="2320" t="str">
        <f t="shared" ref="B7:B13" si="1">IF(A7=0,"","经营性")</f>
        <v>经营性</v>
      </c>
      <c r="C7" s="173" t="s">
        <v>2989</v>
      </c>
      <c r="D7" s="2291">
        <f>SUMIF(项目基本情况!D$15:I$15,C7,项目基本情况!D$18:I$18)</f>
        <v>40</v>
      </c>
      <c r="E7" s="2292">
        <f>IF(B7="","",SUMIF(项目基本情况!D$15:I$15,C7,项目基本情况!D$17:I$17))</f>
        <v>58155</v>
      </c>
      <c r="F7" s="174">
        <f>SUMIF(项目基本情况!D$15:I$15,C7,项目基本情况!D$19:I$19)</f>
        <v>38.78</v>
      </c>
      <c r="G7" s="175">
        <f t="shared" ref="G7:G11" si="2">IF(ISERROR(ROUND(POWER(1+H7,D7-F7)*(POWER(1+H7,F7)-1)/(POWER(1+H7,D7)-1),3)),0,ROUND(POWER(1+H7,D7-F7)*(POWER(1+H7,F7)-1)/(POWER(1+H7,D7)-1),3))</f>
        <v>0.99</v>
      </c>
      <c r="H7" s="2976">
        <v>0.05</v>
      </c>
      <c r="I7" s="2976">
        <v>5.5E-2</v>
      </c>
      <c r="J7" s="176">
        <v>8.5000000000000006E-2</v>
      </c>
      <c r="K7" s="179">
        <f>SUMIF('数据-汇总表'!C$19:C$33,'数据-取费表'!A7,'数据-汇总表'!E$19:E$33)</f>
        <v>76401</v>
      </c>
      <c r="L7" s="2977">
        <v>3000</v>
      </c>
      <c r="M7" s="177">
        <f t="shared" si="0"/>
        <v>22920</v>
      </c>
      <c r="N7" s="2978">
        <v>0</v>
      </c>
      <c r="O7" s="177">
        <f t="shared" ref="O7:O14" si="3">IF($N$5="成新度","——",ROUND(M7*N7,0))</f>
        <v>0</v>
      </c>
      <c r="P7" s="178">
        <f t="shared" ref="P7:P14" si="4">IF($N$5="成新度","——",M7-O7)</f>
        <v>22920</v>
      </c>
      <c r="Q7" s="2979">
        <v>0.2</v>
      </c>
      <c r="R7" s="179">
        <f>SUMIF('数据-汇总表'!C$19:C$33,A7,'数据-汇总表'!R$19:R$33)</f>
        <v>31936.97</v>
      </c>
      <c r="S7" s="132">
        <f>IF('数据-汇总表'!$I$17="按面积比例",SUMIF('数据-汇总表'!C$19:C$33,A7,'数据-汇总表'!K$19:K$33),SUMIF('数据-汇总表'!C$19:C$33,A7,'数据-汇总表'!N$19:N$33))</f>
        <v>14141.54</v>
      </c>
      <c r="T7" s="2217">
        <f t="shared" ref="T7:T13" si="5">IF($T$4="按面积比例",IF(ISERROR(ROUND($M$14*S7/S$16,0)),"0",ROUND($M$14*S7/S$16,0)),"需自行计算录入")</f>
        <v>4242</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0.84899999999999998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2989</v>
      </c>
      <c r="D8" s="2291">
        <f>SUMIF(项目基本情况!D$15:I$15,C8,项目基本情况!D$18:I$18)</f>
        <v>40</v>
      </c>
      <c r="E8" s="2292">
        <f>IF(B8="","",SUMIF(项目基本情况!D$15:I$15,C8,项目基本情况!D$17:I$17))</f>
        <v>58155</v>
      </c>
      <c r="F8" s="174">
        <f>SUMIF(项目基本情况!D$15:I$15,C8,项目基本情况!D$19:I$19)</f>
        <v>38.78</v>
      </c>
      <c r="G8" s="175">
        <f t="shared" si="2"/>
        <v>0.99</v>
      </c>
      <c r="H8" s="2976">
        <v>0.05</v>
      </c>
      <c r="I8" s="2976">
        <v>5.5E-2</v>
      </c>
      <c r="J8" s="176">
        <v>8.5000000000000006E-2</v>
      </c>
      <c r="K8" s="179">
        <f>SUMIF('数据-汇总表'!C$19:C$33,'数据-取费表'!A8,'数据-汇总表'!E$19:E$33)</f>
        <v>14850</v>
      </c>
      <c r="L8" s="2977">
        <f>L6</f>
        <v>3000</v>
      </c>
      <c r="M8" s="177">
        <f>ROUND(K8*L8/10000,0)</f>
        <v>4455</v>
      </c>
      <c r="N8" s="2978">
        <f>N6</f>
        <v>0</v>
      </c>
      <c r="O8" s="177">
        <f t="shared" si="3"/>
        <v>0</v>
      </c>
      <c r="P8" s="178">
        <f t="shared" si="4"/>
        <v>4455</v>
      </c>
      <c r="Q8" s="2979">
        <v>0.2</v>
      </c>
      <c r="R8" s="179">
        <f>SUMIF('数据-汇总表'!C$19:C$33,A8,'数据-汇总表'!R$19:R$33)</f>
        <v>6207.56</v>
      </c>
      <c r="S8" s="132">
        <f>IF('数据-汇总表'!$I$17="按面积比例",SUMIF('数据-汇总表'!C$19:C$33,A8,'数据-汇总表'!K$19:K$33),SUMIF('数据-汇总表'!C$19:C$33,A8,'数据-汇总表'!N$19:N$33))</f>
        <v>2748.68</v>
      </c>
      <c r="T8" s="2217">
        <f t="shared" si="5"/>
        <v>825</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0.84899999999999998</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合院、商墅</v>
      </c>
      <c r="B9" s="2320" t="str">
        <f t="shared" si="1"/>
        <v>经营性</v>
      </c>
      <c r="C9" s="173" t="s">
        <v>2989</v>
      </c>
      <c r="D9" s="2291">
        <f>SUMIF(项目基本情况!D$15:I$15,C9,项目基本情况!D$18:I$18)</f>
        <v>40</v>
      </c>
      <c r="E9" s="2292">
        <f>IF(B9="","",SUMIF(项目基本情况!D$15:I$15,C9,项目基本情况!D$17:I$17))</f>
        <v>58155</v>
      </c>
      <c r="F9" s="174">
        <f>SUMIF(项目基本情况!D$15:I$15,C9,项目基本情况!D$19:I$19)</f>
        <v>38.78</v>
      </c>
      <c r="G9" s="175">
        <f t="shared" si="2"/>
        <v>0.99</v>
      </c>
      <c r="H9" s="2976">
        <v>0.05</v>
      </c>
      <c r="I9" s="2976">
        <v>5.5E-2</v>
      </c>
      <c r="J9" s="176">
        <v>8.5000000000000006E-2</v>
      </c>
      <c r="K9" s="179">
        <f>SUMIF('数据-汇总表'!C$19:C$33,'数据-取费表'!A9,'数据-汇总表'!E$19:E$33)</f>
        <v>27150</v>
      </c>
      <c r="L9" s="193">
        <f>L6</f>
        <v>3000</v>
      </c>
      <c r="M9" s="177">
        <f t="shared" si="0"/>
        <v>8145</v>
      </c>
      <c r="N9" s="194">
        <f>N6</f>
        <v>0</v>
      </c>
      <c r="O9" s="177">
        <f t="shared" si="3"/>
        <v>0</v>
      </c>
      <c r="P9" s="178">
        <f t="shared" si="4"/>
        <v>8145</v>
      </c>
      <c r="Q9" s="192">
        <v>0.2</v>
      </c>
      <c r="R9" s="179">
        <f>SUMIF('数据-汇总表'!C$19:C$33,A9,'数据-汇总表'!R$19:R$33)</f>
        <v>11349.18</v>
      </c>
      <c r="S9" s="132">
        <f>IF('数据-汇总表'!$I$17="按面积比例",SUMIF('数据-汇总表'!C$19:C$33,A9,'数据-汇总表'!K$19:K$33),SUMIF('数据-汇总表'!C$19:C$33,A9,'数据-汇总表'!N$19:N$33))</f>
        <v>5025.3599999999997</v>
      </c>
      <c r="T9" s="2217">
        <f t="shared" si="5"/>
        <v>1508</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0.84899999999999998</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t="str">
        <f>'数据-汇总表'!C23</f>
        <v>车位</v>
      </c>
      <c r="B10" s="2320" t="str">
        <f t="shared" si="1"/>
        <v>经营性</v>
      </c>
      <c r="C10" s="173" t="s">
        <v>2989</v>
      </c>
      <c r="D10" s="2291">
        <f>SUMIF(项目基本情况!D$15:I$15,C10,项目基本情况!D$18:I$18)</f>
        <v>40</v>
      </c>
      <c r="E10" s="2292">
        <f>IF(B10="","",SUMIF(项目基本情况!D$15:I$15,C10,项目基本情况!D$17:I$17))</f>
        <v>58155</v>
      </c>
      <c r="F10" s="174">
        <f>SUMIF(项目基本情况!D$15:I$15,C10,项目基本情况!D$19:I$19)</f>
        <v>38.78</v>
      </c>
      <c r="G10" s="175">
        <f t="shared" si="2"/>
        <v>0.98699999999999999</v>
      </c>
      <c r="H10" s="2976">
        <v>0.04</v>
      </c>
      <c r="I10" s="2976">
        <v>4.4999999999999998E-2</v>
      </c>
      <c r="J10" s="176">
        <v>8.5000000000000006E-2</v>
      </c>
      <c r="K10" s="179">
        <f>SUMIF('数据-汇总表'!C$19:C$33,'数据-取费表'!A10,'数据-汇总表'!E$19:E$33)</f>
        <v>38387.129999999997</v>
      </c>
      <c r="L10" s="193">
        <v>2200</v>
      </c>
      <c r="M10" s="177">
        <f t="shared" si="0"/>
        <v>8445</v>
      </c>
      <c r="N10" s="194">
        <f>N6</f>
        <v>0</v>
      </c>
      <c r="O10" s="177">
        <f t="shared" si="3"/>
        <v>0</v>
      </c>
      <c r="P10" s="178">
        <f t="shared" si="4"/>
        <v>8445</v>
      </c>
      <c r="Q10" s="192">
        <v>0.05</v>
      </c>
      <c r="R10" s="179">
        <f>SUMIF('数据-汇总表'!C$19:C$33,A10,'数据-汇总表'!R$19:R$33)</f>
        <v>16046.5</v>
      </c>
      <c r="S10" s="132">
        <f>IF('数据-汇总表'!$I$17="按面积比例",SUMIF('数据-汇总表'!C$19:C$33,A10,'数据-汇总表'!K$19:K$33),SUMIF('数据-汇总表'!C$19:C$33,A10,'数据-汇总表'!N$19:N$33))</f>
        <v>7105.31</v>
      </c>
      <c r="T10" s="2217">
        <f t="shared" si="5"/>
        <v>2132</v>
      </c>
      <c r="U10" s="180">
        <v>400</v>
      </c>
      <c r="V10" s="181">
        <v>0.03</v>
      </c>
      <c r="W10" s="181">
        <v>0.15</v>
      </c>
      <c r="X10" s="2304"/>
      <c r="Y10" s="182">
        <v>1</v>
      </c>
      <c r="Z10" s="183"/>
      <c r="AA10" s="176"/>
      <c r="AB10" s="176"/>
      <c r="AC10" s="2307"/>
      <c r="AD10" s="184"/>
      <c r="AE10" s="971">
        <f t="shared" ca="1" si="6"/>
        <v>36.78</v>
      </c>
      <c r="AF10" s="141"/>
      <c r="AG10" s="1208">
        <f t="shared" si="7"/>
        <v>0</v>
      </c>
      <c r="AH10" s="141">
        <f>Sheet1!$U$3</f>
        <v>1146</v>
      </c>
      <c r="AI10" s="187">
        <v>12</v>
      </c>
      <c r="AJ10" s="188"/>
      <c r="AK10" s="189">
        <v>1.4999999999999999E-2</v>
      </c>
      <c r="AL10" s="190">
        <v>1.5E-3</v>
      </c>
      <c r="AM10" s="2990">
        <v>0.02</v>
      </c>
      <c r="AN10" s="2354" t="s">
        <v>3127</v>
      </c>
      <c r="AO10" s="1983"/>
      <c r="AP10" s="1199">
        <f t="shared" si="8"/>
        <v>0.78200000000000003</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t="str">
        <f>'数据-汇总表'!C24</f>
        <v>办公</v>
      </c>
      <c r="B11" s="2320" t="str">
        <f t="shared" si="1"/>
        <v>经营性</v>
      </c>
      <c r="C11" s="173"/>
      <c r="D11" s="2291">
        <f>SUMIF(项目基本情况!D$15:I$15,C11,项目基本情况!D$18:I$18)</f>
        <v>0</v>
      </c>
      <c r="E11" s="2292">
        <f>IF(B11="","",SUMIF(项目基本情况!D$15:I$15,C11,项目基本情况!D$17:I$17))</f>
        <v>0</v>
      </c>
      <c r="F11" s="174">
        <f>SUMIF(项目基本情况!D$15:I$15,C11,项目基本情况!D$19:I$19)</f>
        <v>0</v>
      </c>
      <c r="G11" s="175">
        <f t="shared" si="2"/>
        <v>0</v>
      </c>
      <c r="H11" s="176"/>
      <c r="I11" s="176"/>
      <c r="J11" s="176"/>
      <c r="K11" s="179">
        <f>SUMIF('数据-汇总表'!C$19:C$33,'数据-取费表'!A11,'数据-汇总表'!E$19:E$33)</f>
        <v>26128.54</v>
      </c>
      <c r="L11" s="193"/>
      <c r="M11" s="177">
        <f t="shared" si="0"/>
        <v>0</v>
      </c>
      <c r="N11" s="194"/>
      <c r="O11" s="177">
        <f t="shared" si="3"/>
        <v>0</v>
      </c>
      <c r="P11" s="178">
        <f t="shared" si="4"/>
        <v>0</v>
      </c>
      <c r="Q11" s="192"/>
      <c r="R11" s="179">
        <f>SUMIF('数据-汇总表'!C$19:C$33,A11,'数据-汇总表'!R$19:R$33)</f>
        <v>10922.19</v>
      </c>
      <c r="S11" s="132">
        <f>IF('数据-汇总表'!$I$17="按面积比例",SUMIF('数据-汇总表'!C$19:C$33,A11,'数据-汇总表'!K$19:K$33),SUMIF('数据-汇总表'!C$19:C$33,A11,'数据-汇总表'!N$19:N$33))</f>
        <v>4836.29</v>
      </c>
      <c r="T11" s="2217">
        <f t="shared" si="5"/>
        <v>1451</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2300</v>
      </c>
      <c r="B14" s="2289" t="s">
        <v>1668</v>
      </c>
      <c r="C14" s="2290" t="s">
        <v>2300</v>
      </c>
      <c r="D14" s="2291"/>
      <c r="E14" s="2292"/>
      <c r="F14" s="174"/>
      <c r="G14" s="175"/>
      <c r="H14" s="2293"/>
      <c r="I14" s="2293"/>
      <c r="J14" s="2293"/>
      <c r="K14" s="179">
        <f>SUMIF('数据-汇总表'!C$19:C$33,'数据-取费表'!A14,'数据-汇总表'!E$19:E$33)</f>
        <v>38410.17</v>
      </c>
      <c r="L14" s="193">
        <v>3000</v>
      </c>
      <c r="M14" s="177">
        <f t="shared" si="0"/>
        <v>11523</v>
      </c>
      <c r="N14" s="194">
        <v>0</v>
      </c>
      <c r="O14" s="177">
        <f t="shared" si="3"/>
        <v>0</v>
      </c>
      <c r="P14" s="178">
        <f t="shared" si="4"/>
        <v>11523</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2302</v>
      </c>
      <c r="B15" s="2289" t="s">
        <v>1668</v>
      </c>
      <c r="C15" s="2290" t="s">
        <v>2301</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253</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245924.74</v>
      </c>
      <c r="L16" s="206">
        <f>ROUND(M16*10000/SUM(K6:K14),0)</f>
        <v>2556</v>
      </c>
      <c r="M16" s="206">
        <f>SUM(M6:M14)</f>
        <v>62867</v>
      </c>
      <c r="N16" s="207">
        <f>ROUND(SUMPRODUCT(M6:M14,N6:N14)/M16,3)</f>
        <v>0</v>
      </c>
      <c r="O16" s="206">
        <f>SUM(O6:O14)</f>
        <v>0</v>
      </c>
      <c r="P16" s="206">
        <f>SUM(P6:P14)</f>
        <v>62867</v>
      </c>
      <c r="Q16" s="208">
        <f>ROUND(SUMPRODUCT(Q6:Q13,K6:K13)/SUMPRODUCT((Q6:Q13&gt;0)*(K6:K13)),2)</f>
        <v>0.17</v>
      </c>
      <c r="R16" s="2294">
        <f>SUM(R6:R13)</f>
        <v>86744.760000000009</v>
      </c>
      <c r="S16" s="209">
        <f>SUM(S6:S13)</f>
        <v>38410.160000000003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254</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255</v>
      </c>
      <c r="B19" s="218">
        <v>0</v>
      </c>
      <c r="C19" s="2326" t="s">
        <v>2322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256</v>
      </c>
      <c r="B20" s="220">
        <v>2</v>
      </c>
      <c r="C20" s="2326" t="s">
        <v>2321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257</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258</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259</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260</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261</v>
      </c>
      <c r="B26" s="225" t="s">
        <v>262</v>
      </c>
      <c r="C26" s="1978" t="s">
        <v>263</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2324</v>
      </c>
      <c r="B27" s="227">
        <v>50</v>
      </c>
      <c r="C27" s="2329" t="s">
        <v>2328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2325</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2323</v>
      </c>
      <c r="B29" s="232"/>
      <c r="C29" s="1537" t="s">
        <v>2326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264</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265</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266</v>
      </c>
      <c r="B32" s="1372">
        <v>200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269</v>
      </c>
      <c r="B33" s="1373">
        <v>0.03</v>
      </c>
      <c r="C33" s="2327" t="s">
        <v>2879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270</v>
      </c>
      <c r="B34" s="233"/>
      <c r="C34" s="2327" t="s">
        <v>2880</v>
      </c>
      <c r="D34" s="1976" t="s">
        <v>860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267</v>
      </c>
      <c r="B35" s="229">
        <v>200</v>
      </c>
      <c r="C35" s="2327" t="s">
        <v>2881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268</v>
      </c>
      <c r="B36" s="234">
        <v>1.4999999999999999E-2</v>
      </c>
      <c r="C36" s="2327" t="s">
        <v>2882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271</v>
      </c>
      <c r="B37" s="236">
        <v>0.02</v>
      </c>
      <c r="C37" s="2327" t="s">
        <v>2883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272</v>
      </c>
      <c r="B38" s="233">
        <v>0.02</v>
      </c>
      <c r="C38" s="2327" t="s">
        <v>2883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2443</v>
      </c>
      <c r="B40" s="2443">
        <f ca="1">存贷款利率!E2</f>
        <v>4.7500000000000001E-2</v>
      </c>
      <c r="C40" s="2327" t="s">
        <v>2327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273</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274</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275</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276</v>
      </c>
      <c r="B44" s="242">
        <v>7.0000000000000007E-2</v>
      </c>
      <c r="C44" s="2327" t="s">
        <v>2884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277</v>
      </c>
      <c r="B45" s="240">
        <v>0.03</v>
      </c>
      <c r="C45" s="2329" t="s">
        <v>2885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278</v>
      </c>
      <c r="B46" s="240">
        <v>0.02</v>
      </c>
      <c r="C46" s="2329" t="s">
        <v>2886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279</v>
      </c>
      <c r="B47" s="244"/>
      <c r="C47" s="3018" t="s">
        <v>2887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280</v>
      </c>
      <c r="B48" s="246">
        <v>0.03</v>
      </c>
      <c r="C48" s="3019" t="s">
        <v>2888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281</v>
      </c>
      <c r="B49" s="240">
        <v>5.0000000000000001E-4</v>
      </c>
      <c r="C49" s="3019" t="s">
        <v>2889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282</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283</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284</v>
      </c>
      <c r="B52" s="250">
        <f>SUMIF(A54:A63,B53,B54:B63)</f>
        <v>12</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285</v>
      </c>
      <c r="B53" s="251" t="s">
        <v>1144</v>
      </c>
      <c r="C53" s="3020" t="s">
        <v>2890</v>
      </c>
      <c r="D53" s="3021" t="s">
        <v>2891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2892</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2893</v>
      </c>
      <c r="B55" s="186">
        <v>12</v>
      </c>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2894</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2895</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2896</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2897</v>
      </c>
      <c r="B59" s="186"/>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2898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2899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1" t="s">
        <v>1652</v>
      </c>
      <c r="B1" s="3302"/>
      <c r="C1" s="3302"/>
      <c r="D1" s="3302"/>
      <c r="E1" s="3302"/>
      <c r="F1" s="3302"/>
      <c r="G1" s="3302"/>
      <c r="H1" s="1985"/>
      <c r="I1" s="1986"/>
      <c r="J1" s="1987"/>
      <c r="K1" s="1985"/>
      <c r="L1" s="1986"/>
      <c r="M1" s="1987"/>
      <c r="N1" s="1985"/>
      <c r="O1" s="1986"/>
      <c r="P1" s="1987"/>
      <c r="Q1" s="1988"/>
      <c r="R1" s="1989"/>
    </row>
    <row r="2" spans="1:18" ht="14.25" thickBot="1">
      <c r="A2" s="1216"/>
      <c r="B2" s="1217"/>
      <c r="C2" s="1218" t="s">
        <v>1653</v>
      </c>
      <c r="D2" s="1219"/>
      <c r="E2" s="1220"/>
      <c r="F2" s="1221"/>
      <c r="G2" s="1218" t="s">
        <v>1654</v>
      </c>
      <c r="H2" s="1991"/>
      <c r="I2" s="1991"/>
      <c r="J2" s="1991"/>
      <c r="K2" s="1991"/>
      <c r="L2" s="1991"/>
      <c r="M2" s="1991"/>
      <c r="N2" s="1991"/>
      <c r="O2" s="1991"/>
      <c r="P2" s="1991"/>
      <c r="Q2" s="1991"/>
      <c r="R2" s="1991"/>
    </row>
    <row r="3" spans="1:18" ht="54">
      <c r="A3" s="1222" t="s">
        <v>1655</v>
      </c>
      <c r="B3" s="1223" t="s">
        <v>1642</v>
      </c>
      <c r="C3" s="3025" t="s">
        <v>2908</v>
      </c>
      <c r="D3" s="1992"/>
      <c r="E3" s="1224" t="s">
        <v>1655</v>
      </c>
      <c r="F3" s="1225" t="s">
        <v>1643</v>
      </c>
      <c r="G3" s="3029" t="s">
        <v>2907</v>
      </c>
      <c r="H3" s="1991"/>
      <c r="I3" s="1991"/>
      <c r="J3" s="1991"/>
      <c r="K3" s="1991"/>
      <c r="L3" s="1991"/>
      <c r="M3" s="1991"/>
      <c r="N3" s="1991"/>
      <c r="O3" s="1991"/>
      <c r="P3" s="1991"/>
      <c r="Q3" s="1991"/>
      <c r="R3" s="1991"/>
    </row>
    <row r="4" spans="1:18" ht="41.25">
      <c r="A4" s="1224"/>
      <c r="B4" s="1226" t="s">
        <v>1656</v>
      </c>
      <c r="C4" s="3026" t="s">
        <v>2909</v>
      </c>
      <c r="D4" s="1992"/>
      <c r="E4" s="1227"/>
      <c r="F4" s="1228" t="s">
        <v>1657</v>
      </c>
      <c r="G4" s="3027" t="s">
        <v>2904</v>
      </c>
      <c r="H4" s="1991"/>
      <c r="I4" s="1991"/>
      <c r="J4" s="1991"/>
      <c r="K4" s="1991"/>
      <c r="L4" s="1991"/>
      <c r="M4" s="1991"/>
      <c r="N4" s="1991"/>
      <c r="O4" s="1991"/>
      <c r="P4" s="1991"/>
      <c r="Q4" s="1991"/>
      <c r="R4" s="1991"/>
    </row>
    <row r="5" spans="1:18" ht="41.25">
      <c r="A5" s="1224"/>
      <c r="B5" s="1226" t="s">
        <v>1658</v>
      </c>
      <c r="C5" s="3026" t="s">
        <v>2910</v>
      </c>
      <c r="D5" s="1992"/>
      <c r="E5" s="1227"/>
      <c r="F5" s="1226" t="s">
        <v>2532</v>
      </c>
      <c r="G5" s="3027" t="s">
        <v>2905</v>
      </c>
      <c r="H5" s="1991"/>
      <c r="I5" s="1991"/>
      <c r="J5" s="1991"/>
      <c r="K5" s="1991"/>
      <c r="L5" s="1991"/>
      <c r="M5" s="1991"/>
      <c r="N5" s="1991"/>
      <c r="O5" s="1991"/>
      <c r="P5" s="1991"/>
      <c r="Q5" s="1991"/>
      <c r="R5" s="1991"/>
    </row>
    <row r="6" spans="1:18" ht="54">
      <c r="A6" s="1224"/>
      <c r="B6" s="1226" t="s">
        <v>1644</v>
      </c>
      <c r="C6" s="3027" t="s">
        <v>2904</v>
      </c>
      <c r="D6" s="1992"/>
      <c r="E6" s="1227"/>
      <c r="F6" s="1226" t="s">
        <v>2533</v>
      </c>
      <c r="G6" s="3027" t="s">
        <v>2902</v>
      </c>
      <c r="H6" s="1991"/>
      <c r="I6" s="1991"/>
      <c r="J6" s="1991"/>
      <c r="K6" s="1991"/>
      <c r="L6" s="1991"/>
      <c r="M6" s="1991"/>
      <c r="N6" s="1991"/>
      <c r="O6" s="1991"/>
      <c r="P6" s="1991"/>
      <c r="Q6" s="1991"/>
      <c r="R6" s="1991"/>
    </row>
    <row r="7" spans="1:18" ht="41.25" thickBot="1">
      <c r="A7" s="1224"/>
      <c r="B7" s="1226" t="s">
        <v>2532</v>
      </c>
      <c r="C7" s="3027" t="s">
        <v>2905</v>
      </c>
      <c r="D7" s="1993"/>
      <c r="E7" s="1229"/>
      <c r="F7" s="1230" t="s">
        <v>1659</v>
      </c>
      <c r="G7" s="3030" t="s">
        <v>2906</v>
      </c>
      <c r="H7" s="1991"/>
      <c r="I7" s="1991"/>
      <c r="J7" s="1991"/>
      <c r="K7" s="1991"/>
      <c r="L7" s="1991"/>
      <c r="M7" s="1991"/>
      <c r="N7" s="1991"/>
      <c r="O7" s="1991"/>
      <c r="P7" s="1991"/>
      <c r="Q7" s="1991"/>
      <c r="R7" s="1991"/>
    </row>
    <row r="8" spans="1:18" ht="27">
      <c r="A8" s="1224"/>
      <c r="B8" s="1226" t="s">
        <v>2533</v>
      </c>
      <c r="C8" s="3027" t="s">
        <v>2902</v>
      </c>
      <c r="D8" s="1993"/>
      <c r="E8" s="1993"/>
      <c r="F8" s="1538"/>
      <c r="G8" s="1538"/>
      <c r="H8" s="1991"/>
      <c r="I8" s="1991"/>
      <c r="J8" s="1991"/>
      <c r="K8" s="1991"/>
      <c r="L8" s="1991"/>
      <c r="M8" s="1991"/>
      <c r="N8" s="1991"/>
      <c r="O8" s="1991"/>
      <c r="P8" s="1991"/>
      <c r="Q8" s="1991"/>
      <c r="R8" s="1991"/>
    </row>
    <row r="9" spans="1:18" ht="40.5">
      <c r="A9" s="1224"/>
      <c r="B9" s="1226" t="s">
        <v>1645</v>
      </c>
      <c r="C9" s="3026" t="s">
        <v>2903</v>
      </c>
      <c r="D9" s="1992"/>
      <c r="E9" s="1993"/>
      <c r="F9" s="1538"/>
      <c r="G9" s="1538"/>
      <c r="H9" s="1991"/>
      <c r="I9" s="1991"/>
      <c r="J9" s="1991"/>
      <c r="K9" s="1991"/>
      <c r="L9" s="1991"/>
      <c r="M9" s="1991"/>
      <c r="N9" s="1991"/>
      <c r="O9" s="1991"/>
      <c r="P9" s="1991"/>
      <c r="Q9" s="1991"/>
      <c r="R9" s="1991"/>
    </row>
    <row r="10" spans="1:18" s="1999" customFormat="1" ht="15" thickBot="1">
      <c r="A10" s="1231"/>
      <c r="B10" s="1232" t="s">
        <v>1660</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1661</v>
      </c>
      <c r="B13" s="2540"/>
      <c r="C13" s="2540"/>
      <c r="D13" s="1219"/>
      <c r="E13" s="2540"/>
      <c r="F13" s="2540"/>
      <c r="G13" s="2540"/>
    </row>
    <row r="14" spans="1:18" ht="14.25" thickBot="1">
      <c r="A14" s="1233"/>
      <c r="B14" s="1234"/>
      <c r="C14" s="1235" t="s">
        <v>1653</v>
      </c>
      <c r="D14" s="1992"/>
      <c r="E14" s="1236"/>
      <c r="F14" s="1236"/>
      <c r="G14" s="1218" t="s">
        <v>1654</v>
      </c>
    </row>
    <row r="15" spans="1:18" ht="54">
      <c r="A15" s="2550" t="s">
        <v>1646</v>
      </c>
      <c r="B15" s="1237" t="s">
        <v>1642</v>
      </c>
      <c r="C15" s="1238" t="str">
        <f>C3</f>
        <v>估价对象周边居住用地比例、居住小区规模和社区发展完善程度，综合评价居住社区成熟度一般</v>
      </c>
      <c r="D15" s="1992"/>
      <c r="E15" s="2547" t="s">
        <v>1647</v>
      </c>
      <c r="F15" s="1237" t="s">
        <v>1662</v>
      </c>
      <c r="G15" s="1239" t="str">
        <f>G3</f>
        <v>估价对象位于XX开发区，园区建设成熟度XX，产业集聚程度XX</v>
      </c>
    </row>
    <row r="16" spans="1:18" ht="40.5">
      <c r="A16" s="2551"/>
      <c r="B16" s="1240" t="s">
        <v>1656</v>
      </c>
      <c r="C16" s="1241" t="str">
        <f>C4</f>
        <v>估价对象位于XX商圈，周边商业氛围成熟，人流量大，商业繁华度好</v>
      </c>
      <c r="D16" s="1992"/>
      <c r="E16" s="2548"/>
      <c r="F16" s="1242" t="s">
        <v>1657</v>
      </c>
      <c r="G16" s="1004" t="str">
        <f>G4</f>
        <v>估价对象周边道路状况、公共交通通达情况、停车便捷程度，综合评价交通便捷度较好</v>
      </c>
    </row>
    <row r="17" spans="1:7" ht="40.5">
      <c r="A17" s="2551"/>
      <c r="B17" s="1240" t="s">
        <v>1658</v>
      </c>
      <c r="C17" s="1241" t="str">
        <f>C5</f>
        <v>估价对象位于XX商圈，周边办公楼项目较多，入驻率高，办公集聚程度较好</v>
      </c>
      <c r="D17" s="1993"/>
      <c r="E17" s="2548"/>
      <c r="F17" s="1242" t="s">
        <v>1663</v>
      </c>
      <c r="G17" s="2748"/>
    </row>
    <row r="18" spans="1:7" ht="54">
      <c r="A18" s="2551"/>
      <c r="B18" s="1242" t="s">
        <v>1644</v>
      </c>
      <c r="C18" s="1004" t="str">
        <f>C6</f>
        <v>估价对象周边道路状况、公共交通通达情况、停车便捷程度，综合评价交通便捷度较好</v>
      </c>
      <c r="D18" s="1993"/>
      <c r="E18" s="2548"/>
      <c r="F18" s="1242" t="s">
        <v>1659</v>
      </c>
      <c r="G18" s="1004" t="str">
        <f>G7</f>
        <v>该园区内是否有污染型企业，绿化情况，卫生条件，整体环境状况判断</v>
      </c>
    </row>
    <row r="19" spans="1:7" ht="27">
      <c r="A19" s="2551"/>
      <c r="B19" s="1242" t="s">
        <v>1648</v>
      </c>
      <c r="C19" s="2748"/>
      <c r="D19" s="1992"/>
      <c r="E19" s="2548"/>
      <c r="F19" s="1226" t="s">
        <v>2532</v>
      </c>
      <c r="G19" s="1004" t="str">
        <f>G5</f>
        <v>估价对象所在区域公共配套设施齐备情况</v>
      </c>
    </row>
    <row r="20" spans="1:7" ht="40.5">
      <c r="A20" s="2551"/>
      <c r="B20" s="1242" t="s">
        <v>1649</v>
      </c>
      <c r="C20" s="1241" t="str">
        <f>C9</f>
        <v>区域自然环境：；人文环境；综合评价环境状况一般</v>
      </c>
      <c r="D20" s="1993"/>
      <c r="E20" s="2548"/>
      <c r="F20" s="1226" t="s">
        <v>2533</v>
      </c>
      <c r="G20" s="1004" t="str">
        <f>G6</f>
        <v>估价对象所在区域基础设施水平</v>
      </c>
    </row>
    <row r="21" spans="1:7" ht="27">
      <c r="A21" s="2551"/>
      <c r="B21" s="1226" t="s">
        <v>2532</v>
      </c>
      <c r="C21" s="1004" t="str">
        <f>C7</f>
        <v>估价对象所在区域公共配套设施齐备情况</v>
      </c>
      <c r="D21" s="1992"/>
      <c r="E21" s="2548"/>
      <c r="F21" s="1242" t="s">
        <v>1650</v>
      </c>
      <c r="G21" s="3031"/>
    </row>
    <row r="22" spans="1:7" ht="27">
      <c r="A22" s="2551"/>
      <c r="B22" s="1226" t="s">
        <v>2533</v>
      </c>
      <c r="C22" s="1004" t="str">
        <f>C8</f>
        <v>估价对象所在区域基础设施水平</v>
      </c>
      <c r="D22" s="1992"/>
      <c r="E22" s="2548"/>
      <c r="F22" s="1242" t="s">
        <v>1660</v>
      </c>
      <c r="G22" s="2748"/>
    </row>
    <row r="23" spans="1:7" ht="15" thickBot="1">
      <c r="A23" s="2551"/>
      <c r="B23" s="1242" t="s">
        <v>1650</v>
      </c>
      <c r="C23" s="3031"/>
      <c r="E23" s="2549"/>
      <c r="F23" s="1243" t="s">
        <v>1664</v>
      </c>
      <c r="G23" s="3032"/>
    </row>
    <row r="24" spans="1:7" ht="14.25" thickBot="1">
      <c r="A24" s="2552"/>
      <c r="B24" s="1243" t="s">
        <v>1651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G14" activeCellId="2" sqref="A14:A23 B14:D14 G14:I14"/>
    </sheetView>
  </sheetViews>
  <sheetFormatPr defaultColWidth="14.625" defaultRowHeight="13.5"/>
  <cols>
    <col min="1" max="1" width="24.375" style="3178" customWidth="1"/>
    <col min="2" max="16384" width="14.625" style="3178"/>
  </cols>
  <sheetData>
    <row r="1" spans="1:9" ht="16.5">
      <c r="A1" s="3179" t="s">
        <v>2829</v>
      </c>
      <c r="B1" s="3179">
        <f>SUM(B14:B23)</f>
        <v>245924.74</v>
      </c>
      <c r="C1" s="3177"/>
      <c r="D1" s="3177"/>
      <c r="E1" s="3177"/>
      <c r="F1" s="3177"/>
    </row>
    <row r="2" spans="1:9" ht="16.5">
      <c r="A2" s="3179" t="s">
        <v>2830</v>
      </c>
      <c r="B2" s="3179">
        <f>SUM(C14:C23)</f>
        <v>86744.76</v>
      </c>
      <c r="C2" s="3177"/>
      <c r="D2" s="3177"/>
      <c r="E2" s="3177"/>
      <c r="F2" s="3177"/>
    </row>
    <row r="3" spans="1:9" ht="16.5">
      <c r="A3" s="3179" t="s">
        <v>2831</v>
      </c>
      <c r="B3" s="3180">
        <f>项目基本情况!D3</f>
        <v>43998</v>
      </c>
      <c r="C3" s="3177"/>
      <c r="D3" s="3177"/>
      <c r="E3" s="3177"/>
      <c r="F3" s="3177"/>
    </row>
    <row r="4" spans="1:9" ht="33">
      <c r="A4" s="3179" t="s">
        <v>2832</v>
      </c>
      <c r="B4" s="3179" t="s">
        <v>2833</v>
      </c>
      <c r="C4" s="3179" t="s">
        <v>2834</v>
      </c>
      <c r="D4" s="3179" t="s">
        <v>2835</v>
      </c>
      <c r="E4" s="3177"/>
      <c r="F4" s="3177"/>
    </row>
    <row r="5" spans="1:9" ht="16.5">
      <c r="A5" s="3179" t="s">
        <v>2836</v>
      </c>
      <c r="B5" s="3179">
        <f ca="1">SUM(D14:D23)</f>
        <v>37287</v>
      </c>
      <c r="C5" s="3179">
        <f ca="1">ROUND(B5*10000/$B$1,0)</f>
        <v>1516</v>
      </c>
      <c r="D5" s="3179">
        <f ca="1">ROUND(B5*10000/$B$2,0)</f>
        <v>4298</v>
      </c>
      <c r="E5" s="3177"/>
      <c r="F5" s="3177"/>
    </row>
    <row r="6" spans="1:9" ht="16.5">
      <c r="A6" s="3179" t="s">
        <v>2837</v>
      </c>
      <c r="B6" s="3179">
        <f>SUM(G14:G23)</f>
        <v>0</v>
      </c>
      <c r="C6" s="3179">
        <f t="shared" ref="C6:C8" si="0">ROUND(B6*10000/$B$1,0)</f>
        <v>0</v>
      </c>
      <c r="D6" s="3179">
        <f t="shared" ref="D6:D8" si="1">ROUND(B6*10000/$B$2,0)</f>
        <v>0</v>
      </c>
      <c r="E6" s="3177"/>
      <c r="F6" s="3177"/>
    </row>
    <row r="7" spans="1:9" ht="16.5">
      <c r="A7" s="3179" t="s">
        <v>2838</v>
      </c>
      <c r="B7" s="3179">
        <f>SUM(H14:H23)</f>
        <v>0</v>
      </c>
      <c r="C7" s="3179">
        <f t="shared" si="0"/>
        <v>0</v>
      </c>
      <c r="D7" s="3179">
        <f t="shared" si="1"/>
        <v>0</v>
      </c>
      <c r="E7" s="3177"/>
      <c r="F7" s="3177"/>
    </row>
    <row r="8" spans="1:9" ht="16.5">
      <c r="A8" s="3179" t="s">
        <v>2839</v>
      </c>
      <c r="B8" s="3179">
        <f>SUM(I14:I23)</f>
        <v>0</v>
      </c>
      <c r="C8" s="3179">
        <f t="shared" si="0"/>
        <v>0</v>
      </c>
      <c r="D8" s="3179">
        <f t="shared" si="1"/>
        <v>0</v>
      </c>
      <c r="E8" s="3177"/>
      <c r="F8" s="3177"/>
    </row>
    <row r="9" spans="1:9" ht="16.5">
      <c r="A9" s="3179" t="s">
        <v>2840</v>
      </c>
      <c r="B9" s="2995"/>
      <c r="C9" s="3177"/>
      <c r="D9" s="3177"/>
      <c r="E9" s="3177"/>
      <c r="F9" s="3177"/>
    </row>
    <row r="10" spans="1:9" ht="16.5">
      <c r="A10" s="3179" t="s">
        <v>2841</v>
      </c>
      <c r="B10" s="2995"/>
      <c r="C10" s="3177"/>
      <c r="D10" s="3177"/>
      <c r="E10" s="3177"/>
      <c r="F10" s="3177"/>
    </row>
    <row r="11" spans="1:9" ht="16.5">
      <c r="A11" s="3179" t="s">
        <v>2858</v>
      </c>
      <c r="B11" s="2995"/>
      <c r="C11" s="3177"/>
      <c r="D11" s="3177"/>
      <c r="E11" s="3177"/>
      <c r="F11" s="3177"/>
    </row>
    <row r="12" spans="1:9" ht="16.5">
      <c r="A12" s="3177"/>
      <c r="B12" s="3177"/>
      <c r="C12" s="3177"/>
      <c r="D12" s="3177"/>
      <c r="E12" s="3177"/>
      <c r="F12" s="3177"/>
    </row>
    <row r="13" spans="1:9" ht="33">
      <c r="A13" s="3181" t="s">
        <v>2857</v>
      </c>
      <c r="B13" s="3182" t="s">
        <v>2829</v>
      </c>
      <c r="C13" s="3182" t="s">
        <v>2830</v>
      </c>
      <c r="D13" s="3182" t="s">
        <v>2842</v>
      </c>
      <c r="E13" s="3179" t="s">
        <v>2856</v>
      </c>
      <c r="F13" s="3179" t="s">
        <v>2835</v>
      </c>
      <c r="G13" s="3182" t="s">
        <v>2843</v>
      </c>
      <c r="H13" s="3182" t="s">
        <v>2844</v>
      </c>
      <c r="I13" s="3182" t="s">
        <v>2845</v>
      </c>
    </row>
    <row r="14" spans="1:9" ht="16.5">
      <c r="A14" s="3183" t="s">
        <v>2855</v>
      </c>
      <c r="B14" s="3184">
        <f>结果表!L38</f>
        <v>245924.74</v>
      </c>
      <c r="C14" s="3184">
        <f>结果表!K38</f>
        <v>86744.76</v>
      </c>
      <c r="D14" s="3184">
        <f ca="1">结果表!C42</f>
        <v>37287</v>
      </c>
      <c r="E14" s="3182">
        <f ca="1">ROUND(D14*10000/B14,0)</f>
        <v>1516</v>
      </c>
      <c r="F14" s="3182">
        <f ca="1">ROUND(D14*10000/C14,0)</f>
        <v>4298</v>
      </c>
      <c r="G14" s="3184" t="str">
        <f>结果表!C44</f>
        <v>——</v>
      </c>
      <c r="H14" s="3184" t="str">
        <f>结果表!C45</f>
        <v>——</v>
      </c>
      <c r="I14" s="3184" t="str">
        <f>结果表!C46</f>
        <v>——</v>
      </c>
    </row>
    <row r="15" spans="1:9" ht="16.5">
      <c r="A15" s="3183" t="s">
        <v>2846</v>
      </c>
      <c r="B15" s="2997"/>
      <c r="C15" s="2997"/>
      <c r="D15" s="2997"/>
      <c r="E15" s="3182" t="e">
        <f t="shared" ref="E15:E23" si="2">ROUND(D15*10000/B15,0)</f>
        <v>#DIV/0!</v>
      </c>
      <c r="F15" s="3182" t="e">
        <f t="shared" ref="F15:F23" si="3">ROUND(D15*10000/C15,0)</f>
        <v>#DIV/0!</v>
      </c>
      <c r="G15" s="2996"/>
      <c r="H15" s="2996"/>
      <c r="I15" s="2997"/>
    </row>
    <row r="16" spans="1:9" ht="16.5">
      <c r="A16" s="3183" t="s">
        <v>2847</v>
      </c>
      <c r="B16" s="2997"/>
      <c r="C16" s="2997"/>
      <c r="D16" s="2997"/>
      <c r="E16" s="3182" t="e">
        <f t="shared" si="2"/>
        <v>#DIV/0!</v>
      </c>
      <c r="F16" s="3182" t="e">
        <f t="shared" si="3"/>
        <v>#DIV/0!</v>
      </c>
      <c r="G16" s="2996"/>
      <c r="H16" s="2996"/>
      <c r="I16" s="2997"/>
    </row>
    <row r="17" spans="1:9" ht="16.5">
      <c r="A17" s="3183" t="s">
        <v>2848</v>
      </c>
      <c r="B17" s="2997"/>
      <c r="C17" s="2997"/>
      <c r="D17" s="2997"/>
      <c r="E17" s="3182" t="e">
        <f t="shared" si="2"/>
        <v>#DIV/0!</v>
      </c>
      <c r="F17" s="3182" t="e">
        <f t="shared" si="3"/>
        <v>#DIV/0!</v>
      </c>
      <c r="G17" s="2996"/>
      <c r="H17" s="2996"/>
      <c r="I17" s="2997"/>
    </row>
    <row r="18" spans="1:9" ht="16.5">
      <c r="A18" s="3183" t="s">
        <v>2849</v>
      </c>
      <c r="B18" s="2997"/>
      <c r="C18" s="2997"/>
      <c r="D18" s="2997"/>
      <c r="E18" s="3182" t="e">
        <f t="shared" si="2"/>
        <v>#DIV/0!</v>
      </c>
      <c r="F18" s="3182" t="e">
        <f t="shared" si="3"/>
        <v>#DIV/0!</v>
      </c>
      <c r="G18" s="2997"/>
      <c r="H18" s="2997"/>
      <c r="I18" s="2997"/>
    </row>
    <row r="19" spans="1:9" ht="16.5">
      <c r="A19" s="3183" t="s">
        <v>2850</v>
      </c>
      <c r="B19" s="2997"/>
      <c r="C19" s="2997"/>
      <c r="D19" s="2997"/>
      <c r="E19" s="3182" t="e">
        <f t="shared" si="2"/>
        <v>#DIV/0!</v>
      </c>
      <c r="F19" s="3182" t="e">
        <f t="shared" si="3"/>
        <v>#DIV/0!</v>
      </c>
      <c r="G19" s="2997"/>
      <c r="H19" s="2997"/>
      <c r="I19" s="2997"/>
    </row>
    <row r="20" spans="1:9" ht="16.5">
      <c r="A20" s="3183" t="s">
        <v>2851</v>
      </c>
      <c r="B20" s="2997"/>
      <c r="C20" s="2997"/>
      <c r="D20" s="2997"/>
      <c r="E20" s="3182" t="e">
        <f t="shared" si="2"/>
        <v>#DIV/0!</v>
      </c>
      <c r="F20" s="3182" t="e">
        <f t="shared" si="3"/>
        <v>#DIV/0!</v>
      </c>
      <c r="G20" s="2997"/>
      <c r="H20" s="2997"/>
      <c r="I20" s="2997"/>
    </row>
    <row r="21" spans="1:9" ht="16.5">
      <c r="A21" s="3183" t="s">
        <v>2852</v>
      </c>
      <c r="B21" s="2997"/>
      <c r="C21" s="2997"/>
      <c r="D21" s="2997"/>
      <c r="E21" s="3182" t="e">
        <f t="shared" si="2"/>
        <v>#DIV/0!</v>
      </c>
      <c r="F21" s="3182" t="e">
        <f t="shared" si="3"/>
        <v>#DIV/0!</v>
      </c>
      <c r="G21" s="2997"/>
      <c r="H21" s="2997"/>
      <c r="I21" s="2997"/>
    </row>
    <row r="22" spans="1:9" ht="16.5">
      <c r="A22" s="3183" t="s">
        <v>2853</v>
      </c>
      <c r="B22" s="2997"/>
      <c r="C22" s="2997"/>
      <c r="D22" s="2997"/>
      <c r="E22" s="3182" t="e">
        <f t="shared" si="2"/>
        <v>#DIV/0!</v>
      </c>
      <c r="F22" s="3182" t="e">
        <f t="shared" si="3"/>
        <v>#DIV/0!</v>
      </c>
      <c r="G22" s="2997"/>
      <c r="H22" s="2997"/>
      <c r="I22" s="2997"/>
    </row>
    <row r="23" spans="1:9" ht="16.5">
      <c r="A23" s="3183" t="s">
        <v>2854</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5" zoomScaleNormal="100" zoomScaleSheetLayoutView="100" zoomScalePageLayoutView="80" workbookViewId="0">
      <selection activeCell="I19" sqref="I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2042</v>
      </c>
      <c r="B1" s="1760"/>
      <c r="C1" s="1788" t="s">
        <v>2043</v>
      </c>
      <c r="D1" s="1789"/>
      <c r="E1" s="1788" t="s">
        <v>2044</v>
      </c>
      <c r="F1" s="1790"/>
      <c r="G1" s="311"/>
      <c r="H1" s="311"/>
      <c r="I1" s="311"/>
      <c r="J1" s="2012"/>
      <c r="K1" s="2012"/>
      <c r="L1" s="2012"/>
      <c r="M1" s="2012"/>
      <c r="N1" s="2012"/>
      <c r="O1" s="2012"/>
      <c r="P1" s="2012"/>
      <c r="Q1" s="2012"/>
      <c r="R1" s="2012"/>
      <c r="S1" s="2012"/>
      <c r="T1" s="2012"/>
      <c r="U1" s="2012"/>
      <c r="V1" s="2012"/>
    </row>
    <row r="2" spans="1:22" ht="21.75" customHeight="1" thickBot="1">
      <c r="A2" s="3344" t="str">
        <f>项目基本情况!K2</f>
        <v>出让国有建设用地使用权</v>
      </c>
      <c r="B2" s="3345"/>
      <c r="C2" s="3346"/>
      <c r="D2" s="3346"/>
      <c r="E2" s="3346"/>
      <c r="F2" s="3346"/>
      <c r="G2" s="3345"/>
      <c r="H2" s="3345"/>
      <c r="I2" s="3347"/>
      <c r="J2" s="2013"/>
      <c r="K2" s="2012"/>
      <c r="L2" s="2012"/>
      <c r="M2" s="2012"/>
      <c r="N2" s="2012"/>
      <c r="O2" s="2012"/>
      <c r="P2" s="2012"/>
      <c r="Q2" s="2012"/>
      <c r="R2" s="2012"/>
      <c r="S2" s="2012"/>
      <c r="T2" s="2012"/>
      <c r="U2" s="2012"/>
      <c r="V2" s="2012"/>
    </row>
    <row r="3" spans="1:22" ht="14.25">
      <c r="A3" s="3337" t="s">
        <v>289</v>
      </c>
      <c r="B3" s="3338"/>
      <c r="C3" s="3338"/>
      <c r="D3" s="3338"/>
      <c r="E3" s="3338"/>
      <c r="F3" s="3338"/>
      <c r="G3" s="3338"/>
      <c r="H3" s="3338"/>
      <c r="I3" s="3338"/>
      <c r="J3" s="2013"/>
      <c r="K3" s="2012"/>
      <c r="L3" s="2012"/>
      <c r="M3" s="2012"/>
      <c r="N3" s="2012"/>
      <c r="O3" s="2012"/>
      <c r="P3" s="2012"/>
      <c r="Q3" s="2012"/>
      <c r="R3" s="2012"/>
      <c r="S3" s="2012"/>
      <c r="T3" s="2012"/>
      <c r="U3" s="2012"/>
      <c r="V3" s="2012"/>
    </row>
    <row r="4" spans="1:22" ht="14.25">
      <c r="A4" s="258" t="s">
        <v>290</v>
      </c>
      <c r="B4" s="259" t="s">
        <v>291</v>
      </c>
      <c r="C4" s="260" t="s">
        <v>3079</v>
      </c>
      <c r="D4" s="260" t="s">
        <v>3080</v>
      </c>
      <c r="E4" s="3306" t="s">
        <v>292</v>
      </c>
      <c r="F4" s="3307"/>
      <c r="G4" s="3307"/>
      <c r="H4" s="3307"/>
      <c r="I4" s="3339"/>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05" t="s">
        <v>293</v>
      </c>
      <c r="B5" s="3334">
        <v>25</v>
      </c>
      <c r="C5" s="3332"/>
      <c r="D5" s="3336"/>
      <c r="E5" s="261" t="s">
        <v>294</v>
      </c>
      <c r="F5" s="262"/>
      <c r="G5" s="262"/>
      <c r="H5" s="262"/>
      <c r="I5" s="263"/>
      <c r="J5" s="2013"/>
      <c r="K5" s="2012"/>
      <c r="L5" s="2012"/>
      <c r="M5" s="2012"/>
      <c r="N5" s="2012"/>
      <c r="O5" s="2012"/>
      <c r="P5" s="2012"/>
      <c r="Q5" s="2012"/>
      <c r="R5" s="2012"/>
      <c r="S5" s="2012"/>
      <c r="T5" s="2012"/>
      <c r="U5" s="2012"/>
      <c r="V5" s="2012"/>
    </row>
    <row r="6" spans="1:22" ht="14.25">
      <c r="A6" s="3305"/>
      <c r="B6" s="3334"/>
      <c r="C6" s="3335"/>
      <c r="D6" s="3336"/>
      <c r="E6" s="261" t="s">
        <v>295</v>
      </c>
      <c r="F6" s="262"/>
      <c r="G6" s="262"/>
      <c r="H6" s="262"/>
      <c r="I6" s="263"/>
      <c r="J6" s="2013"/>
      <c r="K6" s="2012"/>
      <c r="L6" s="2012"/>
      <c r="M6" s="2012"/>
      <c r="N6" s="2012"/>
      <c r="O6" s="2012"/>
      <c r="P6" s="2012"/>
      <c r="Q6" s="2012"/>
      <c r="R6" s="2012"/>
      <c r="S6" s="2012"/>
      <c r="T6" s="2012"/>
      <c r="U6" s="2012"/>
      <c r="V6" s="2012"/>
    </row>
    <row r="7" spans="1:22" ht="14.25">
      <c r="A7" s="3305"/>
      <c r="B7" s="3334"/>
      <c r="C7" s="3333"/>
      <c r="D7" s="3336"/>
      <c r="E7" s="261" t="s">
        <v>296</v>
      </c>
      <c r="F7" s="262"/>
      <c r="G7" s="262"/>
      <c r="H7" s="262"/>
      <c r="I7" s="263"/>
      <c r="J7" s="2013"/>
      <c r="K7" s="2012"/>
      <c r="L7" s="2012"/>
      <c r="M7" s="2012"/>
      <c r="N7" s="2012"/>
      <c r="O7" s="2012"/>
      <c r="P7" s="2012"/>
      <c r="Q7" s="2012"/>
      <c r="R7" s="2012"/>
      <c r="S7" s="2012"/>
      <c r="T7" s="2012"/>
      <c r="U7" s="2012"/>
      <c r="V7" s="2012"/>
    </row>
    <row r="8" spans="1:22" ht="14.25">
      <c r="A8" s="3305" t="s">
        <v>297</v>
      </c>
      <c r="B8" s="3334">
        <v>15</v>
      </c>
      <c r="C8" s="3332"/>
      <c r="D8" s="3336"/>
      <c r="E8" s="261" t="s">
        <v>298</v>
      </c>
      <c r="F8" s="262"/>
      <c r="G8" s="262"/>
      <c r="H8" s="262"/>
      <c r="I8" s="263"/>
      <c r="J8" s="2013"/>
      <c r="K8" s="2012"/>
      <c r="L8" s="2012"/>
      <c r="M8" s="2012"/>
      <c r="N8" s="2012"/>
      <c r="O8" s="2012"/>
      <c r="P8" s="2012"/>
      <c r="Q8" s="2012"/>
      <c r="R8" s="2012"/>
      <c r="S8" s="2012"/>
      <c r="T8" s="2012"/>
      <c r="U8" s="2012"/>
      <c r="V8" s="2012"/>
    </row>
    <row r="9" spans="1:22" ht="14.25">
      <c r="A9" s="3305"/>
      <c r="B9" s="3334"/>
      <c r="C9" s="3333"/>
      <c r="D9" s="3336"/>
      <c r="E9" s="261" t="s">
        <v>299</v>
      </c>
      <c r="F9" s="262"/>
      <c r="G9" s="262"/>
      <c r="H9" s="262"/>
      <c r="I9" s="263"/>
      <c r="J9" s="2013"/>
      <c r="K9" s="2012"/>
      <c r="L9" s="2012"/>
      <c r="M9" s="2012"/>
      <c r="N9" s="2012"/>
      <c r="O9" s="2012"/>
      <c r="P9" s="2012"/>
      <c r="Q9" s="2012"/>
      <c r="R9" s="2012"/>
      <c r="S9" s="2012"/>
      <c r="T9" s="2012"/>
      <c r="U9" s="2012"/>
      <c r="V9" s="2012"/>
    </row>
    <row r="10" spans="1:22" ht="14.25">
      <c r="A10" s="3305" t="s">
        <v>300</v>
      </c>
      <c r="B10" s="3334">
        <v>15</v>
      </c>
      <c r="C10" s="3332"/>
      <c r="D10" s="3336"/>
      <c r="E10" s="261" t="s">
        <v>301</v>
      </c>
      <c r="F10" s="262"/>
      <c r="G10" s="262"/>
      <c r="H10" s="262"/>
      <c r="I10" s="263"/>
      <c r="J10" s="2013"/>
      <c r="K10" s="2012"/>
      <c r="L10" s="2012"/>
      <c r="M10" s="2012"/>
      <c r="N10" s="2012"/>
      <c r="O10" s="2012"/>
      <c r="P10" s="2012"/>
      <c r="Q10" s="2012"/>
      <c r="R10" s="2012"/>
      <c r="S10" s="2012"/>
      <c r="T10" s="2012"/>
      <c r="U10" s="2012"/>
      <c r="V10" s="2012"/>
    </row>
    <row r="11" spans="1:22" ht="14.25">
      <c r="A11" s="3305"/>
      <c r="B11" s="3334"/>
      <c r="C11" s="3333"/>
      <c r="D11" s="3336"/>
      <c r="E11" s="261" t="s">
        <v>302</v>
      </c>
      <c r="F11" s="262"/>
      <c r="G11" s="262"/>
      <c r="H11" s="262"/>
      <c r="I11" s="263"/>
      <c r="J11" s="2013"/>
      <c r="K11" s="2012"/>
      <c r="L11" s="2012"/>
      <c r="M11" s="2012"/>
      <c r="N11" s="2012"/>
      <c r="O11" s="2012"/>
      <c r="P11" s="2012"/>
      <c r="Q11" s="2012"/>
      <c r="R11" s="2012"/>
      <c r="S11" s="2012"/>
      <c r="T11" s="2012"/>
      <c r="U11" s="2012"/>
      <c r="V11" s="2012"/>
    </row>
    <row r="12" spans="1:22" ht="14.25">
      <c r="A12" s="3305" t="s">
        <v>303</v>
      </c>
      <c r="B12" s="3334">
        <v>15</v>
      </c>
      <c r="C12" s="3332"/>
      <c r="D12" s="3336"/>
      <c r="E12" s="261" t="s">
        <v>304</v>
      </c>
      <c r="F12" s="262"/>
      <c r="G12" s="262"/>
      <c r="H12" s="262"/>
      <c r="I12" s="263"/>
      <c r="J12" s="2013"/>
      <c r="K12" s="2012"/>
      <c r="L12" s="2012"/>
      <c r="M12" s="2012"/>
      <c r="N12" s="2012"/>
      <c r="O12" s="2012"/>
      <c r="P12" s="2012"/>
      <c r="Q12" s="2012"/>
      <c r="R12" s="2012"/>
      <c r="S12" s="2012"/>
      <c r="T12" s="2012"/>
      <c r="U12" s="2012"/>
      <c r="V12" s="2012"/>
    </row>
    <row r="13" spans="1:22" ht="14.25">
      <c r="A13" s="3305"/>
      <c r="B13" s="3334"/>
      <c r="C13" s="3333"/>
      <c r="D13" s="3336"/>
      <c r="E13" s="261" t="s">
        <v>305</v>
      </c>
      <c r="F13" s="262"/>
      <c r="G13" s="262"/>
      <c r="H13" s="262"/>
      <c r="I13" s="263"/>
      <c r="J13" s="2013"/>
      <c r="K13" s="2012"/>
      <c r="L13" s="2012"/>
      <c r="M13" s="2012"/>
      <c r="N13" s="2012"/>
      <c r="O13" s="2012"/>
      <c r="P13" s="2012"/>
      <c r="Q13" s="2012"/>
      <c r="R13" s="2012"/>
      <c r="S13" s="2012"/>
      <c r="T13" s="2012"/>
      <c r="U13" s="2012"/>
      <c r="V13" s="2012"/>
    </row>
    <row r="14" spans="1:22" ht="14.25">
      <c r="A14" s="3305" t="s">
        <v>306</v>
      </c>
      <c r="B14" s="3334">
        <v>30</v>
      </c>
      <c r="C14" s="3332">
        <v>5</v>
      </c>
      <c r="D14" s="3336">
        <v>5</v>
      </c>
      <c r="E14" s="261" t="s">
        <v>307</v>
      </c>
      <c r="F14" s="262"/>
      <c r="G14" s="262"/>
      <c r="H14" s="262"/>
      <c r="I14" s="263"/>
      <c r="J14" s="2013"/>
      <c r="K14" s="2012"/>
      <c r="L14" s="2012"/>
      <c r="M14" s="2012"/>
      <c r="N14" s="2012"/>
      <c r="O14" s="2012"/>
      <c r="P14" s="2012"/>
      <c r="Q14" s="2012"/>
      <c r="R14" s="2012"/>
      <c r="S14" s="2012"/>
      <c r="T14" s="2012"/>
      <c r="U14" s="2012"/>
      <c r="V14" s="2012"/>
    </row>
    <row r="15" spans="1:22" ht="14.25">
      <c r="A15" s="3305"/>
      <c r="B15" s="3334"/>
      <c r="C15" s="3335"/>
      <c r="D15" s="3336"/>
      <c r="E15" s="261" t="s">
        <v>308</v>
      </c>
      <c r="F15" s="262"/>
      <c r="G15" s="262"/>
      <c r="H15" s="262"/>
      <c r="I15" s="263"/>
      <c r="J15" s="2013"/>
      <c r="K15" s="2012"/>
      <c r="L15" s="2012"/>
      <c r="M15" s="2012"/>
      <c r="N15" s="2012"/>
      <c r="O15" s="2012"/>
      <c r="P15" s="2012"/>
      <c r="Q15" s="2012"/>
      <c r="R15" s="2012"/>
      <c r="S15" s="2012"/>
      <c r="T15" s="2012"/>
      <c r="U15" s="2012"/>
      <c r="V15" s="2012"/>
    </row>
    <row r="16" spans="1:22" ht="14.25">
      <c r="A16" s="3305"/>
      <c r="B16" s="3334"/>
      <c r="C16" s="3333"/>
      <c r="D16" s="3336"/>
      <c r="E16" s="261" t="s">
        <v>309</v>
      </c>
      <c r="F16" s="262"/>
      <c r="G16" s="262"/>
      <c r="H16" s="262"/>
      <c r="I16" s="263"/>
      <c r="J16" s="2013"/>
      <c r="K16" s="2012"/>
      <c r="L16" s="2012"/>
      <c r="M16" s="2012"/>
      <c r="N16" s="2012"/>
      <c r="O16" s="2012"/>
      <c r="P16" s="2012"/>
      <c r="Q16" s="2012"/>
      <c r="R16" s="2012"/>
      <c r="S16" s="2012"/>
      <c r="T16" s="2012"/>
      <c r="U16" s="2012"/>
      <c r="V16" s="2012"/>
    </row>
    <row r="17" spans="1:26" ht="15">
      <c r="A17" s="264" t="s">
        <v>310</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311</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312</v>
      </c>
      <c r="B19" s="269" t="s">
        <v>313</v>
      </c>
      <c r="C19" s="270">
        <f ca="1">SUMIF(INDIRECT("'"&amp;C4&amp;"'"&amp;"!A:A"),结果表!B19,INDIRECT("'"&amp;C4&amp;"'"&amp;"!B:B"))</f>
        <v>34625</v>
      </c>
      <c r="D19" s="271">
        <f ca="1">SUMIF(INDIRECT("'"&amp;D4&amp;"'"&amp;"!A:A"),结果表!B19,INDIRECT("'"&amp;D4&amp;"'"&amp;"!B:B"))</f>
        <v>39948</v>
      </c>
      <c r="E19" s="268" t="s">
        <v>314</v>
      </c>
      <c r="F19" s="269" t="s">
        <v>313</v>
      </c>
      <c r="G19" s="272">
        <f ca="1">ROUND(C19*$C$18+D19*$D$18,0)</f>
        <v>37287</v>
      </c>
      <c r="H19" s="273" t="s">
        <v>315</v>
      </c>
      <c r="I19" s="311"/>
      <c r="J19" s="2012"/>
      <c r="K19" s="2012"/>
      <c r="L19" s="2012"/>
      <c r="M19" s="2012"/>
      <c r="N19" s="2012"/>
      <c r="O19" s="2012"/>
      <c r="P19" s="2012"/>
      <c r="Q19" s="2012"/>
      <c r="R19" s="2012"/>
      <c r="S19" s="2012"/>
      <c r="T19" s="2012"/>
      <c r="U19" s="2012"/>
      <c r="V19" s="2012"/>
    </row>
    <row r="20" spans="1:26" ht="15">
      <c r="A20" s="274"/>
      <c r="B20" s="275" t="s">
        <v>316</v>
      </c>
      <c r="C20" s="276">
        <f ca="1">SUMIF(INDIRECT("'"&amp;C4&amp;"'"&amp;"!A:A"),结果表!B20,INDIRECT("'"&amp;C4&amp;"'"&amp;"!B:B"))</f>
        <v>1408</v>
      </c>
      <c r="D20" s="277">
        <f ca="1">SUMIF(INDIRECT("'"&amp;D4&amp;"'"&amp;"!A:A"),结果表!B20,INDIRECT("'"&amp;D4&amp;"'"&amp;"!B:B"))</f>
        <v>1624</v>
      </c>
      <c r="E20" s="274"/>
      <c r="F20" s="275" t="s">
        <v>316</v>
      </c>
      <c r="G20" s="278">
        <f ca="1">ROUND(C20*$C$18+D20*$D$18,0)</f>
        <v>1516</v>
      </c>
      <c r="H20" s="279" t="s">
        <v>317</v>
      </c>
      <c r="I20" s="311"/>
      <c r="J20" s="2012"/>
      <c r="K20" s="2012"/>
      <c r="L20" s="2012"/>
      <c r="M20" s="2012"/>
      <c r="N20" s="2012"/>
      <c r="O20" s="2012"/>
      <c r="P20" s="2012"/>
      <c r="Q20" s="2012"/>
      <c r="R20" s="2012"/>
      <c r="S20" s="2012"/>
      <c r="T20" s="2012"/>
      <c r="U20" s="2012"/>
      <c r="V20" s="2012"/>
    </row>
    <row r="21" spans="1:26" ht="15" customHeight="1">
      <c r="A21" s="274"/>
      <c r="B21" s="280" t="s">
        <v>318</v>
      </c>
      <c r="C21" s="281">
        <f ca="1">SUMIF(INDIRECT("'"&amp;C4&amp;"'"&amp;"!A:A"),结果表!B21,INDIRECT("'"&amp;C4&amp;"'"&amp;"!B:B"))</f>
        <v>3992</v>
      </c>
      <c r="D21" s="151">
        <f ca="1">SUMIF(INDIRECT("'"&amp;D4&amp;"'"&amp;"!A:A"),结果表!B21,INDIRECT("'"&amp;D4&amp;"'"&amp;"!B:B"))</f>
        <v>4605</v>
      </c>
      <c r="E21" s="274"/>
      <c r="F21" s="280" t="s">
        <v>318</v>
      </c>
      <c r="G21" s="282">
        <f ca="1">ROUND(C21*$C$18+D21*$D$18,0)</f>
        <v>4299</v>
      </c>
      <c r="H21" s="1246" t="s">
        <v>317</v>
      </c>
      <c r="I21" s="311"/>
      <c r="J21" s="2012"/>
      <c r="K21" s="2012"/>
      <c r="L21" s="2012"/>
      <c r="M21" s="2012"/>
      <c r="N21" s="2012"/>
      <c r="O21" s="2012"/>
      <c r="P21" s="2012"/>
      <c r="Q21" s="2012"/>
      <c r="R21" s="2012"/>
      <c r="S21" s="2012"/>
      <c r="T21" s="2012"/>
      <c r="U21" s="2012"/>
      <c r="V21" s="2012"/>
    </row>
    <row r="22" spans="1:26" ht="15.75" thickBot="1">
      <c r="A22" s="126" t="s">
        <v>319</v>
      </c>
      <c r="B22" s="1247"/>
      <c r="C22" s="1248"/>
      <c r="D22" s="283">
        <f ca="1">IF(C19&lt;D19,D19/C19-1,C19/D19-1)</f>
        <v>0.15373285198555964</v>
      </c>
      <c r="E22" s="284"/>
      <c r="F22" s="285"/>
      <c r="G22" s="286">
        <f ca="1">ROUND(G19/('数据-汇总表'!D3/666.67),0)</f>
        <v>287</v>
      </c>
      <c r="H22" s="287" t="s">
        <v>320</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1" t="s">
        <v>321</v>
      </c>
      <c r="B24" s="269" t="s">
        <v>313</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12"/>
      <c r="B25" s="1316" t="s">
        <v>322</v>
      </c>
      <c r="C25" s="290">
        <f>IF(B30=0,0,C30)</f>
        <v>0</v>
      </c>
      <c r="D25" s="291"/>
      <c r="E25" s="311"/>
      <c r="F25" s="311"/>
      <c r="G25" s="311"/>
      <c r="H25" s="311"/>
      <c r="I25" s="311"/>
      <c r="J25" s="2012"/>
      <c r="K25" s="1250" t="str">
        <f ca="1">项目基本情况!B16&amp;"国有建设用地使用权价格："&amp;O38&amp;"万元"</f>
        <v>出让国有建设用地使用权价格：37287万元</v>
      </c>
      <c r="L25" s="1251"/>
      <c r="M25" s="1251"/>
      <c r="N25" s="1251"/>
      <c r="O25" s="1252"/>
      <c r="P25" s="2012"/>
      <c r="Q25" s="2012"/>
      <c r="R25" s="2012"/>
      <c r="S25" s="2012"/>
      <c r="T25" s="2012"/>
      <c r="U25" s="2012"/>
      <c r="V25" s="2012"/>
    </row>
    <row r="26" spans="1:26" s="1249" customFormat="1" ht="18">
      <c r="A26" s="293" t="s">
        <v>323</v>
      </c>
      <c r="B26" s="294" t="s">
        <v>324</v>
      </c>
      <c r="C26" s="294" t="s">
        <v>325</v>
      </c>
      <c r="D26" s="295" t="s">
        <v>326</v>
      </c>
      <c r="E26" s="311"/>
      <c r="F26" s="311"/>
      <c r="G26" s="311"/>
      <c r="H26" s="311"/>
      <c r="I26" s="311"/>
      <c r="J26" s="2012"/>
      <c r="K26" s="1253" t="str">
        <f ca="1">"大写金额：人民币"&amp;NUMBERSTRING(INT(O38*10000),2)&amp;"元整"</f>
        <v>大写金额：人民币叁亿柒仟贰佰捌拾柒万元整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单位面积地价：4298元/平方米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楼面地价：1516元/平方米</v>
      </c>
      <c r="L28" s="1247"/>
      <c r="M28" s="1247"/>
      <c r="N28" s="1247"/>
      <c r="O28" s="1246"/>
      <c r="P28" s="2012"/>
      <c r="V28" s="2012"/>
    </row>
    <row r="29" spans="1:26" ht="18">
      <c r="A29" s="293"/>
      <c r="B29" s="294"/>
      <c r="C29" s="294"/>
      <c r="D29" s="295"/>
      <c r="E29" s="311"/>
      <c r="F29" s="311"/>
      <c r="G29" s="311"/>
      <c r="H29" s="311"/>
      <c r="I29" s="311"/>
      <c r="J29" s="2012"/>
      <c r="K29" s="1253" t="str">
        <f>IF(OR(项目基本情况!E8="抵押价格",项目基本情况!E8="已注销及未注销"),"抵押价格："&amp;O39&amp;"万元","——")</f>
        <v>——</v>
      </c>
      <c r="L29" s="1247"/>
      <c r="M29" s="1247"/>
      <c r="N29" s="1247"/>
      <c r="O29" s="1246"/>
      <c r="P29" s="2012"/>
      <c r="V29" s="2012"/>
    </row>
    <row r="30" spans="1:26" ht="18.75" thickBot="1">
      <c r="A30" s="3074" t="s">
        <v>327</v>
      </c>
      <c r="B30" s="309"/>
      <c r="C30" s="309"/>
      <c r="D30" s="310"/>
      <c r="E30" s="3075" t="s">
        <v>2954</v>
      </c>
      <c r="F30" s="311"/>
      <c r="G30" s="311"/>
      <c r="H30" s="311"/>
      <c r="I30" s="311"/>
      <c r="J30" s="2012"/>
      <c r="K30" s="1253" t="str">
        <f>IF(K29="——","——","大写金额：人民币"&amp;NUMBERSTRING(INT(O39*10000),2)&amp;"元整")</f>
        <v>——</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328</v>
      </c>
      <c r="B32" s="1376" t="s">
        <v>1677</v>
      </c>
      <c r="C32" s="1377">
        <f ca="1">G19-C24</f>
        <v>37287</v>
      </c>
      <c r="D32" s="1378" t="s">
        <v>1678</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331</v>
      </c>
      <c r="B33" s="1379" t="s">
        <v>1679</v>
      </c>
      <c r="C33" s="264">
        <f ca="1">ROUND(C32*10000/'数据-汇总表'!E3,0)</f>
        <v>1516</v>
      </c>
      <c r="D33" s="1380" t="s">
        <v>1680</v>
      </c>
      <c r="E33" s="3311" t="s">
        <v>329</v>
      </c>
      <c r="F33" s="296" t="s">
        <v>330</v>
      </c>
      <c r="G33" s="297"/>
      <c r="H33" s="979"/>
      <c r="I33" s="1254"/>
      <c r="J33" s="2012"/>
      <c r="K33" s="1253" t="str">
        <f>IF(项目基本情况!E9="——","——","抵押净值："&amp;C46&amp;"万元")</f>
        <v>抵押净值：——万元</v>
      </c>
      <c r="L33" s="1247"/>
      <c r="M33" s="1247"/>
      <c r="N33" s="1247"/>
      <c r="O33" s="1246"/>
      <c r="P33" s="2012"/>
      <c r="V33" s="2012"/>
    </row>
    <row r="34" spans="1:26" s="1249" customFormat="1" ht="18.75" thickBot="1">
      <c r="A34" s="300"/>
      <c r="B34" s="1381" t="s">
        <v>1681</v>
      </c>
      <c r="C34" s="264">
        <f ca="1">ROUND(C32*10000/'数据-汇总表'!D3,0)</f>
        <v>4298</v>
      </c>
      <c r="D34" s="1382" t="s">
        <v>1680</v>
      </c>
      <c r="E34" s="3352"/>
      <c r="F34" s="127" t="s">
        <v>332</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287</v>
      </c>
      <c r="D35" s="1385" t="s">
        <v>1682</v>
      </c>
      <c r="E35" s="3353"/>
      <c r="F35" s="301" t="s">
        <v>333</v>
      </c>
      <c r="G35" s="981"/>
      <c r="H35" s="980" t="s">
        <v>334</v>
      </c>
      <c r="I35" s="311"/>
      <c r="J35" s="2012"/>
      <c r="K35" s="3329" t="s">
        <v>341</v>
      </c>
      <c r="L35" s="3329" t="s">
        <v>342</v>
      </c>
      <c r="M35" s="1259" t="s">
        <v>343</v>
      </c>
      <c r="N35" s="3329" t="s">
        <v>344</v>
      </c>
      <c r="O35" s="3329" t="s">
        <v>345</v>
      </c>
      <c r="P35" s="2012"/>
      <c r="V35" s="2012"/>
    </row>
    <row r="36" spans="1:26" ht="16.5" customHeight="1">
      <c r="A36" s="303" t="s">
        <v>335</v>
      </c>
      <c r="B36" s="304" t="s">
        <v>324</v>
      </c>
      <c r="C36" s="305" t="s">
        <v>336</v>
      </c>
      <c r="D36" s="305" t="s">
        <v>337</v>
      </c>
      <c r="E36" s="306" t="s">
        <v>338</v>
      </c>
      <c r="F36" s="311"/>
      <c r="G36" s="311"/>
      <c r="H36" s="311"/>
      <c r="I36" s="311"/>
      <c r="J36" s="2014"/>
      <c r="K36" s="3330"/>
      <c r="L36" s="3330"/>
      <c r="M36" s="1261" t="s">
        <v>346</v>
      </c>
      <c r="N36" s="3330"/>
      <c r="O36" s="3330"/>
      <c r="P36" s="2012"/>
      <c r="V36" s="2012"/>
    </row>
    <row r="37" spans="1:26" ht="16.5" customHeight="1" thickBot="1">
      <c r="A37" s="1255" t="s">
        <v>339</v>
      </c>
      <c r="B37" s="307"/>
      <c r="C37" s="294"/>
      <c r="D37" s="294"/>
      <c r="E37" s="295"/>
      <c r="F37" s="311"/>
      <c r="G37" s="311"/>
      <c r="H37" s="311"/>
      <c r="I37" s="311"/>
      <c r="J37" s="2014"/>
      <c r="K37" s="3331"/>
      <c r="L37" s="3331"/>
      <c r="M37" s="1262"/>
      <c r="N37" s="3331"/>
      <c r="O37" s="3331"/>
      <c r="P37" s="2012"/>
      <c r="V37" s="2012"/>
    </row>
    <row r="38" spans="1:26" ht="16.5" customHeight="1" thickBot="1">
      <c r="A38" s="1255" t="s">
        <v>340</v>
      </c>
      <c r="B38" s="307"/>
      <c r="C38" s="294"/>
      <c r="D38" s="294"/>
      <c r="E38" s="295"/>
      <c r="F38" s="311"/>
      <c r="G38" s="311"/>
      <c r="H38" s="311"/>
      <c r="I38" s="311"/>
      <c r="J38" s="2014"/>
      <c r="K38" s="1263">
        <f>'数据-汇总表'!D3</f>
        <v>86744.76</v>
      </c>
      <c r="L38" s="1264">
        <f>'数据-汇总表'!E3</f>
        <v>245924.74</v>
      </c>
      <c r="M38" s="1264">
        <f ca="1">C34</f>
        <v>4298</v>
      </c>
      <c r="N38" s="1264">
        <f ca="1">C33</f>
        <v>1516</v>
      </c>
      <c r="O38" s="1265">
        <f ca="1">C32</f>
        <v>37287</v>
      </c>
      <c r="P38" s="2012"/>
      <c r="V38" s="2012"/>
    </row>
    <row r="39" spans="1:26" ht="16.5" customHeight="1" thickBot="1">
      <c r="A39" s="1260"/>
      <c r="B39" s="308"/>
      <c r="C39" s="309"/>
      <c r="D39" s="309"/>
      <c r="E39" s="310"/>
      <c r="F39" s="311"/>
      <c r="G39" s="311"/>
      <c r="H39" s="311"/>
      <c r="I39" s="311"/>
      <c r="J39" s="2014"/>
      <c r="K39" s="3366" t="str">
        <f>MID(A44,3,LEN(A44)-2)</f>
        <v/>
      </c>
      <c r="L39" s="3367"/>
      <c r="M39" s="3367"/>
      <c r="N39" s="3368"/>
      <c r="O39" s="1387" t="str">
        <f>C44</f>
        <v>——</v>
      </c>
      <c r="P39" s="2012"/>
      <c r="V39" s="2012"/>
    </row>
    <row r="40" spans="1:26" ht="19.5" thickBot="1">
      <c r="A40" s="104" t="s">
        <v>862</v>
      </c>
      <c r="B40" s="311"/>
      <c r="C40" s="311"/>
      <c r="D40" s="311"/>
      <c r="E40" s="311"/>
      <c r="F40" s="311"/>
      <c r="G40" s="311"/>
      <c r="H40" s="311"/>
      <c r="I40" s="311"/>
      <c r="J40" s="2014"/>
      <c r="K40" s="3366" t="str">
        <f t="shared" ref="K40:K41" si="0">MID(A45,3,LEN(A45)-2)</f>
        <v/>
      </c>
      <c r="L40" s="3367"/>
      <c r="M40" s="3367"/>
      <c r="N40" s="3368"/>
      <c r="O40" s="1387" t="str">
        <f>C45</f>
        <v>——</v>
      </c>
      <c r="P40" s="2012"/>
      <c r="V40" s="2012"/>
    </row>
    <row r="41" spans="1:26" ht="16.5" thickBot="1">
      <c r="A41" s="312" t="s">
        <v>347</v>
      </c>
      <c r="B41" s="313"/>
      <c r="C41" s="314" t="s">
        <v>348</v>
      </c>
      <c r="D41" s="315" t="s">
        <v>349</v>
      </c>
      <c r="E41" s="315" t="s">
        <v>350</v>
      </c>
      <c r="F41" s="316" t="s">
        <v>351</v>
      </c>
      <c r="G41" s="311"/>
      <c r="H41" s="311"/>
      <c r="I41" s="311"/>
      <c r="J41" s="2014"/>
      <c r="K41" s="3366" t="str">
        <f t="shared" si="0"/>
        <v/>
      </c>
      <c r="L41" s="3367"/>
      <c r="M41" s="3367"/>
      <c r="N41" s="3368"/>
      <c r="O41" s="1387" t="str">
        <f>C46</f>
        <v>——</v>
      </c>
      <c r="P41" s="2012"/>
      <c r="V41" s="2012"/>
    </row>
    <row r="42" spans="1:26" ht="29.25">
      <c r="A42" s="3313" t="s">
        <v>2054</v>
      </c>
      <c r="B42" s="3314"/>
      <c r="C42" s="264">
        <f ca="1">C32</f>
        <v>37287</v>
      </c>
      <c r="D42" s="317">
        <f ca="1">C33</f>
        <v>1516</v>
      </c>
      <c r="E42" s="317">
        <f ca="1">C34</f>
        <v>4298</v>
      </c>
      <c r="F42" s="318">
        <f ca="1">C35</f>
        <v>287</v>
      </c>
      <c r="G42" s="311"/>
      <c r="H42" s="311"/>
      <c r="I42" s="319"/>
      <c r="J42" s="2014"/>
      <c r="K42" s="1266" t="s">
        <v>352</v>
      </c>
      <c r="L42" s="2031" t="s">
        <v>353</v>
      </c>
      <c r="M42" s="1267" t="s">
        <v>354</v>
      </c>
      <c r="N42" s="2032" t="s">
        <v>355</v>
      </c>
      <c r="O42" s="2033" t="s">
        <v>356</v>
      </c>
      <c r="P42" s="2012"/>
      <c r="V42" s="2012"/>
    </row>
    <row r="43" spans="1:26" ht="30">
      <c r="A43" s="3324" t="s">
        <v>2715</v>
      </c>
      <c r="B43" s="3325"/>
      <c r="C43" s="264">
        <f>IF(H33="正常操作",G33+G34+G35,G34+G35)</f>
        <v>0</v>
      </c>
      <c r="D43" s="317" t="s">
        <v>43</v>
      </c>
      <c r="E43" s="317" t="s">
        <v>44</v>
      </c>
      <c r="F43" s="318" t="s">
        <v>44</v>
      </c>
      <c r="G43" s="2820" t="s">
        <v>941</v>
      </c>
      <c r="H43" s="311"/>
      <c r="I43" s="319"/>
      <c r="J43" s="2014"/>
      <c r="K43" s="1268" t="str">
        <f>C4</f>
        <v>剩余法-待开发</v>
      </c>
      <c r="L43" s="1269">
        <f ca="1">IF(L42="估价结果/万元",C19,C20)</f>
        <v>34625</v>
      </c>
      <c r="M43" s="1270">
        <f>C18</f>
        <v>0.5</v>
      </c>
      <c r="N43" s="1271">
        <f ca="1">IF(N42="测算结果/万元",G19,G20)</f>
        <v>37287</v>
      </c>
      <c r="O43" s="1272">
        <f ca="1">IF(O42="最终结果/万元",C32,C33)</f>
        <v>37287</v>
      </c>
      <c r="P43" s="2012"/>
      <c r="V43" s="2012"/>
    </row>
    <row r="44" spans="1:26" ht="30.75" thickBot="1">
      <c r="A44" s="3313" t="str">
        <f>IF(OR(项目基本情况!E8="抵押价格",项目基本情况!E8="已注销及未注销"),"3.抵押价格","——")</f>
        <v>——</v>
      </c>
      <c r="B44" s="3314"/>
      <c r="C44" s="264" t="str">
        <f>IF(A44="——","——",C42-C43)</f>
        <v>——</v>
      </c>
      <c r="D44" s="317" t="e">
        <f>ROUND(C44*10000/'数据-汇总表'!E3,0)</f>
        <v>#VALUE!</v>
      </c>
      <c r="E44" s="317" t="e">
        <f>ROUND(C44*10000/'数据-汇总表'!D3,0)</f>
        <v>#VALUE!</v>
      </c>
      <c r="F44" s="318" t="e">
        <f>ROUND(C44/('数据-汇总表'!D3/666.67),0)</f>
        <v>#VALUE!</v>
      </c>
      <c r="G44" s="311"/>
      <c r="H44" s="311"/>
      <c r="I44" s="319"/>
      <c r="J44" s="2014"/>
      <c r="K44" s="1273" t="str">
        <f>D4</f>
        <v>比较法-住宅、综合</v>
      </c>
      <c r="L44" s="1274">
        <f ca="1">IF(L42="估价结果/万元",D19,D20)</f>
        <v>39948</v>
      </c>
      <c r="M44" s="1275">
        <f>D18</f>
        <v>0.5</v>
      </c>
      <c r="N44" s="1276"/>
      <c r="O44" s="1277"/>
      <c r="P44" s="2012"/>
      <c r="V44" s="2012"/>
    </row>
    <row r="45" spans="1:26" ht="15">
      <c r="A45" s="3319" t="str">
        <f>IF(项目基本情况!E8="已注销及未注销","4.抵押担保权已注销时的抵押价格",IF(项目基本情况!E8="已注销","3.抵押担保权已注销时的抵押价格","——"))</f>
        <v>——</v>
      </c>
      <c r="B45" s="332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357</v>
      </c>
      <c r="B47" s="1278"/>
      <c r="C47" s="322" t="s">
        <v>358</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359</v>
      </c>
      <c r="G53" s="337"/>
      <c r="H53" s="337"/>
      <c r="I53" s="338" t="s">
        <v>360</v>
      </c>
      <c r="J53" s="2015"/>
      <c r="K53" s="2012"/>
      <c r="L53" s="2012"/>
      <c r="M53" s="2012"/>
      <c r="N53" s="2012"/>
      <c r="O53" s="2012"/>
      <c r="P53" s="2012"/>
      <c r="Q53" s="2012"/>
      <c r="R53" s="2012"/>
      <c r="S53" s="2012"/>
      <c r="T53" s="2012"/>
      <c r="U53" s="2012"/>
      <c r="V53" s="2012"/>
    </row>
    <row r="54" spans="1:22" ht="12.75">
      <c r="A54" s="257"/>
      <c r="B54" s="339" t="s">
        <v>361</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362</v>
      </c>
      <c r="J56" s="2015"/>
      <c r="K56" s="2012"/>
      <c r="L56" s="2012"/>
      <c r="M56" s="2012"/>
      <c r="N56" s="2012"/>
      <c r="O56" s="2012"/>
      <c r="P56" s="2012"/>
      <c r="Q56" s="2012"/>
      <c r="R56" s="2012"/>
      <c r="S56" s="2012"/>
      <c r="T56" s="2012"/>
      <c r="U56" s="2012"/>
      <c r="V56" s="2012"/>
    </row>
    <row r="57" spans="1:22" ht="12.75">
      <c r="A57" s="257"/>
      <c r="B57" s="339" t="s">
        <v>363</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362</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364</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60" t="s">
        <v>365</v>
      </c>
      <c r="B63" s="3361"/>
      <c r="C63" s="3362"/>
      <c r="D63" s="341">
        <f ca="1">ROUND(C42*F63,0)</f>
        <v>22372</v>
      </c>
      <c r="E63" s="302" t="s">
        <v>366</v>
      </c>
      <c r="F63" s="342">
        <v>0.6</v>
      </c>
      <c r="G63" s="343" t="s">
        <v>367</v>
      </c>
      <c r="H63" s="311"/>
      <c r="I63" s="311"/>
      <c r="J63" s="2012"/>
      <c r="K63" s="2012"/>
      <c r="L63" s="2012"/>
      <c r="M63" s="2012"/>
      <c r="N63" s="2012"/>
      <c r="O63" s="2012"/>
      <c r="P63" s="311"/>
      <c r="Q63" s="2012"/>
      <c r="R63" s="2012"/>
      <c r="S63" s="2012"/>
      <c r="T63" s="2012"/>
      <c r="U63" s="2012"/>
      <c r="V63" s="2012"/>
    </row>
    <row r="64" spans="1:22" ht="14.25" customHeight="1">
      <c r="A64" s="3321" t="s">
        <v>369</v>
      </c>
      <c r="B64" s="3322"/>
      <c r="C64" s="3322"/>
      <c r="D64" s="3322"/>
      <c r="E64" s="3322"/>
      <c r="F64" s="3322"/>
      <c r="G64" s="3323"/>
      <c r="H64" s="1283"/>
      <c r="I64" s="948"/>
      <c r="J64" s="1974"/>
      <c r="K64" s="1546" t="s">
        <v>368</v>
      </c>
      <c r="L64" s="11"/>
      <c r="M64" s="11"/>
      <c r="N64" s="11"/>
      <c r="O64" s="11"/>
      <c r="P64" s="311"/>
      <c r="Q64" s="2012"/>
      <c r="R64" s="2012"/>
      <c r="S64" s="2012"/>
      <c r="T64" s="2012"/>
      <c r="U64" s="2012"/>
      <c r="V64" s="2012"/>
    </row>
    <row r="65" spans="1:22" ht="12" customHeight="1">
      <c r="A65" s="344" t="s">
        <v>371</v>
      </c>
      <c r="B65" s="345"/>
      <c r="C65" s="346"/>
      <c r="D65" s="347" t="s">
        <v>372</v>
      </c>
      <c r="E65" s="53" t="s">
        <v>373</v>
      </c>
      <c r="F65" s="348" t="s">
        <v>374</v>
      </c>
      <c r="G65" s="349" t="s">
        <v>375</v>
      </c>
      <c r="H65" s="1283"/>
      <c r="I65" s="948"/>
      <c r="J65" s="1974"/>
      <c r="K65" s="1284"/>
      <c r="L65" s="1285"/>
      <c r="M65" s="1285"/>
      <c r="N65" s="1317" t="s">
        <v>370</v>
      </c>
      <c r="O65" s="1318"/>
      <c r="P65" s="1319"/>
      <c r="Q65" s="2012"/>
      <c r="R65" s="2012"/>
      <c r="S65" s="2012"/>
      <c r="T65" s="2012"/>
      <c r="U65" s="2012"/>
      <c r="V65" s="2012"/>
    </row>
    <row r="66" spans="1:22" ht="25.5">
      <c r="A66" s="3317" t="s">
        <v>377</v>
      </c>
      <c r="B66" s="3318"/>
      <c r="C66" s="3318"/>
      <c r="D66" s="261">
        <f ca="1">IF(H66="情况1",0,IF(H66="情况2",D70,IF(H66="情况3",D71,IF(H66="情况4",D72))))</f>
        <v>1193</v>
      </c>
      <c r="E66" s="992" t="str">
        <f>IF(H66="情况4","(销售额-原购置价)×税（费）率","销售额×税（费）率")</f>
        <v>销售额×税（费）率</v>
      </c>
      <c r="F66" s="350">
        <f>IF(H66="情况1","免征",'数据-取费表'!B41)</f>
        <v>5.6000000000000001E-2</v>
      </c>
      <c r="G66" s="351" t="s">
        <v>378</v>
      </c>
      <c r="H66" s="191" t="s">
        <v>379</v>
      </c>
      <c r="I66" s="1283"/>
      <c r="J66" s="2018"/>
      <c r="K66" s="1286">
        <v>1</v>
      </c>
      <c r="L66" s="3375" t="s">
        <v>376</v>
      </c>
      <c r="M66" s="3376"/>
      <c r="N66" s="2421"/>
      <c r="O66" s="2422"/>
      <c r="P66" s="2423"/>
      <c r="Q66" s="2012"/>
      <c r="R66" s="2012"/>
      <c r="S66" s="2012"/>
      <c r="T66" s="2012"/>
      <c r="U66" s="2012"/>
      <c r="V66" s="2012"/>
    </row>
    <row r="67" spans="1:22" ht="25.5" customHeight="1">
      <c r="A67" s="352" t="s">
        <v>381</v>
      </c>
      <c r="B67" s="3308" t="s">
        <v>382</v>
      </c>
      <c r="C67" s="3308"/>
      <c r="D67" s="353">
        <v>0</v>
      </c>
      <c r="E67" s="41" t="s">
        <v>383</v>
      </c>
      <c r="F67" s="62" t="s">
        <v>21</v>
      </c>
      <c r="G67" s="3363"/>
      <c r="H67" s="311"/>
      <c r="I67" s="1287"/>
      <c r="J67" s="2019"/>
      <c r="K67" s="1960">
        <v>2</v>
      </c>
      <c r="L67" s="3369" t="s">
        <v>380</v>
      </c>
      <c r="M67" s="3369"/>
      <c r="N67" s="1320">
        <f>'数据-取费表'!B2</f>
        <v>43998</v>
      </c>
      <c r="O67" s="1320"/>
      <c r="P67" s="1320"/>
      <c r="Q67" s="2012"/>
      <c r="R67" s="2012"/>
      <c r="S67" s="2012"/>
      <c r="T67" s="2012"/>
      <c r="U67" s="2012"/>
      <c r="V67" s="2012"/>
    </row>
    <row r="68" spans="1:22" ht="25.5" customHeight="1">
      <c r="A68" s="354"/>
      <c r="B68" s="3308" t="s">
        <v>385</v>
      </c>
      <c r="C68" s="3308"/>
      <c r="D68" s="355"/>
      <c r="E68" s="77"/>
      <c r="F68" s="356"/>
      <c r="G68" s="3364"/>
      <c r="H68" s="311"/>
      <c r="I68" s="1287"/>
      <c r="J68" s="2019"/>
      <c r="K68" s="1960">
        <v>3</v>
      </c>
      <c r="L68" s="3369" t="s">
        <v>384</v>
      </c>
      <c r="M68" s="3369"/>
      <c r="N68" s="1288">
        <f ca="1">C42</f>
        <v>37287</v>
      </c>
      <c r="O68" s="1288"/>
      <c r="P68" s="1288"/>
      <c r="Q68" s="2012"/>
      <c r="R68" s="2012"/>
      <c r="S68" s="2012"/>
      <c r="T68" s="2012"/>
      <c r="U68" s="2012"/>
      <c r="V68" s="2012"/>
    </row>
    <row r="69" spans="1:22" ht="12" customHeight="1">
      <c r="A69" s="357"/>
      <c r="B69" s="3308" t="s">
        <v>386</v>
      </c>
      <c r="C69" s="3308"/>
      <c r="D69" s="358"/>
      <c r="E69" s="73"/>
      <c r="F69" s="356"/>
      <c r="G69" s="3365"/>
      <c r="H69" s="311"/>
      <c r="I69" s="1287"/>
      <c r="J69" s="2019"/>
      <c r="K69" s="1289">
        <v>4</v>
      </c>
      <c r="L69" s="3379" t="s">
        <v>2868</v>
      </c>
      <c r="M69" s="3380"/>
      <c r="N69" s="1290" t="str">
        <f>C44</f>
        <v>——</v>
      </c>
      <c r="O69" s="1290"/>
      <c r="P69" s="1290"/>
      <c r="Q69" s="2012"/>
      <c r="R69" s="2012"/>
      <c r="S69" s="2012"/>
      <c r="T69" s="2012"/>
      <c r="U69" s="2012"/>
      <c r="V69" s="2012"/>
    </row>
    <row r="70" spans="1:22" ht="24" customHeight="1">
      <c r="A70" s="359" t="s">
        <v>387</v>
      </c>
      <c r="B70" s="3308" t="s">
        <v>388</v>
      </c>
      <c r="C70" s="3308"/>
      <c r="D70" s="358">
        <f ca="1">ROUND(D63*'数据-取费表'!B41/(1+'数据-取费表'!C42),0)</f>
        <v>1193</v>
      </c>
      <c r="E70" s="17" t="s">
        <v>389</v>
      </c>
      <c r="F70" s="360">
        <f>'数据-取费表'!B41</f>
        <v>5.6000000000000001E-2</v>
      </c>
      <c r="G70" s="361"/>
      <c r="H70" s="311"/>
      <c r="I70" s="1287"/>
      <c r="J70" s="2019"/>
      <c r="K70" s="3006"/>
      <c r="L70" s="3007"/>
      <c r="M70" s="3007"/>
      <c r="N70" s="3008" t="s">
        <v>2873</v>
      </c>
      <c r="O70" s="3007"/>
      <c r="P70" s="3009"/>
      <c r="Q70" s="2012"/>
      <c r="R70" s="2012"/>
      <c r="S70" s="2012"/>
      <c r="T70" s="2012"/>
      <c r="U70" s="2012"/>
      <c r="V70" s="2012"/>
    </row>
    <row r="71" spans="1:22" ht="12" customHeight="1">
      <c r="A71" s="359" t="s">
        <v>395</v>
      </c>
      <c r="B71" s="3309" t="s">
        <v>396</v>
      </c>
      <c r="C71" s="3310"/>
      <c r="D71" s="358">
        <f ca="1">ROUND(D63*'数据-取费表'!B41/(1+'数据-取费表'!C42),0)</f>
        <v>1193</v>
      </c>
      <c r="E71" s="17" t="s">
        <v>389</v>
      </c>
      <c r="F71" s="360">
        <f>'数据-取费表'!B41</f>
        <v>5.6000000000000001E-2</v>
      </c>
      <c r="G71" s="361"/>
      <c r="H71" s="311"/>
      <c r="I71" s="1287"/>
      <c r="J71" s="2019"/>
      <c r="K71" s="3005" t="s">
        <v>390</v>
      </c>
      <c r="L71" s="3381" t="s">
        <v>391</v>
      </c>
      <c r="M71" s="3381"/>
      <c r="N71" s="3005" t="s">
        <v>392</v>
      </c>
      <c r="O71" s="3005" t="s">
        <v>393</v>
      </c>
      <c r="P71" s="3005" t="s">
        <v>394</v>
      </c>
      <c r="Q71" s="2012"/>
      <c r="R71" s="2012"/>
      <c r="S71" s="2012"/>
      <c r="T71" s="2012"/>
      <c r="U71" s="2012"/>
      <c r="V71" s="2012"/>
    </row>
    <row r="72" spans="1:22" ht="12" customHeight="1">
      <c r="A72" s="359" t="s">
        <v>398</v>
      </c>
      <c r="B72" s="3309" t="s">
        <v>399</v>
      </c>
      <c r="C72" s="3310"/>
      <c r="D72" s="358">
        <f ca="1">C86</f>
        <v>1081</v>
      </c>
      <c r="E72" s="73" t="s">
        <v>400</v>
      </c>
      <c r="F72" s="360">
        <f>'数据-取费表'!B41</f>
        <v>5.6000000000000001E-2</v>
      </c>
      <c r="G72" s="361"/>
      <c r="H72" s="1293"/>
      <c r="I72" s="1287"/>
      <c r="J72" s="2019"/>
      <c r="K72" s="1960">
        <v>1</v>
      </c>
      <c r="L72" s="3356" t="s">
        <v>397</v>
      </c>
      <c r="M72" s="3356"/>
      <c r="N72" s="1291">
        <f ca="1">D66</f>
        <v>1193</v>
      </c>
      <c r="O72" s="1843" t="str">
        <f>E66</f>
        <v>销售额×税（费）率</v>
      </c>
      <c r="P72" s="1292">
        <f>F66</f>
        <v>5.6000000000000001E-2</v>
      </c>
      <c r="Q72" s="2012"/>
      <c r="R72" s="2012"/>
      <c r="S72" s="2012"/>
      <c r="T72" s="2012"/>
      <c r="U72" s="2012"/>
      <c r="V72" s="2012"/>
    </row>
    <row r="73" spans="1:22" ht="24" customHeight="1">
      <c r="A73" s="3351" t="s">
        <v>402</v>
      </c>
      <c r="B73" s="3318"/>
      <c r="C73" s="3318"/>
      <c r="D73" s="362">
        <f>IF(H73="个人住宅",0,ROUND(D63*I73,0))</f>
        <v>0</v>
      </c>
      <c r="E73" s="17" t="s">
        <v>403</v>
      </c>
      <c r="F73" s="360" t="str">
        <f>IF(H73="正常",I73,"免征")</f>
        <v>免征</v>
      </c>
      <c r="G73" s="361"/>
      <c r="H73" s="191" t="s">
        <v>2441</v>
      </c>
      <c r="I73" s="360">
        <f>'数据-取费表'!B49</f>
        <v>5.0000000000000001E-4</v>
      </c>
      <c r="J73" s="2019"/>
      <c r="K73" s="1960">
        <v>2</v>
      </c>
      <c r="L73" s="3356" t="s">
        <v>401</v>
      </c>
      <c r="M73" s="3356"/>
      <c r="N73" s="1291">
        <f t="shared" ref="N73:P74" si="1">D73</f>
        <v>0</v>
      </c>
      <c r="O73" s="1843" t="str">
        <f t="shared" si="1"/>
        <v>销售额×税（费）率</v>
      </c>
      <c r="P73" s="1292" t="str">
        <f t="shared" si="1"/>
        <v>免征</v>
      </c>
      <c r="Q73" s="2012"/>
      <c r="R73" s="2012"/>
      <c r="S73" s="2012"/>
      <c r="T73" s="2012"/>
      <c r="U73" s="2012"/>
      <c r="V73" s="2012"/>
    </row>
    <row r="74" spans="1:22" ht="24.75">
      <c r="A74" s="3351" t="s">
        <v>406</v>
      </c>
      <c r="B74" s="3318"/>
      <c r="C74" s="3318"/>
      <c r="D74" s="362">
        <f ca="1">IF(H74="个人住宅",D75,D76)</f>
        <v>12065</v>
      </c>
      <c r="E74" s="17" t="s">
        <v>407</v>
      </c>
      <c r="F74" s="360" t="str">
        <f>IF(H74="正常",F76,"免征")</f>
        <v>——</v>
      </c>
      <c r="G74" s="982" t="s">
        <v>408</v>
      </c>
      <c r="H74" s="363" t="s">
        <v>404</v>
      </c>
      <c r="I74" s="42"/>
      <c r="J74" s="2019"/>
      <c r="K74" s="1960">
        <v>3</v>
      </c>
      <c r="L74" s="3356" t="s">
        <v>405</v>
      </c>
      <c r="M74" s="3356"/>
      <c r="N74" s="1291">
        <f t="shared" ca="1" si="1"/>
        <v>12065</v>
      </c>
      <c r="O74" s="1843" t="str">
        <f t="shared" si="1"/>
        <v>增值额×税（费）率</v>
      </c>
      <c r="P74" s="1294" t="str">
        <f t="shared" si="1"/>
        <v>——</v>
      </c>
      <c r="Q74" s="2012"/>
      <c r="R74" s="2012"/>
      <c r="S74" s="2012"/>
      <c r="T74" s="2012"/>
      <c r="U74" s="2012"/>
      <c r="V74" s="2012"/>
    </row>
    <row r="75" spans="1:22" ht="24">
      <c r="A75" s="359" t="s">
        <v>409</v>
      </c>
      <c r="B75" s="3306" t="s">
        <v>410</v>
      </c>
      <c r="C75" s="3339"/>
      <c r="D75" s="364">
        <v>0</v>
      </c>
      <c r="E75" s="41" t="s">
        <v>411</v>
      </c>
      <c r="F75" s="365"/>
      <c r="G75" s="361"/>
      <c r="H75" s="42"/>
      <c r="I75" s="42"/>
      <c r="J75" s="2019"/>
      <c r="K75" s="2998">
        <f>IF(H77="非个人房产","",4)</f>
        <v>4</v>
      </c>
      <c r="L75" s="3356" t="str">
        <f>IF(H77="非个人房产","——","个人所得税")</f>
        <v>个人所得税</v>
      </c>
      <c r="M75" s="3356"/>
      <c r="N75" s="1295">
        <f ca="1">D77</f>
        <v>224</v>
      </c>
      <c r="O75" s="1856" t="str">
        <f>E77</f>
        <v>销售额×税（费）率</v>
      </c>
      <c r="P75" s="1296">
        <f>F77</f>
        <v>0.01</v>
      </c>
      <c r="Q75" s="2012"/>
      <c r="R75" s="2012"/>
      <c r="S75" s="2012"/>
      <c r="T75" s="2012"/>
      <c r="U75" s="2012"/>
      <c r="V75" s="2012"/>
    </row>
    <row r="76" spans="1:22" ht="24.75">
      <c r="A76" s="359" t="s">
        <v>387</v>
      </c>
      <c r="B76" s="3306" t="s">
        <v>413</v>
      </c>
      <c r="C76" s="3307"/>
      <c r="D76" s="362">
        <f ca="1">IF(H76="转让取得",C99,C115)</f>
        <v>12065</v>
      </c>
      <c r="E76" s="17" t="s">
        <v>414</v>
      </c>
      <c r="F76" s="53" t="s">
        <v>21</v>
      </c>
      <c r="G76" s="361"/>
      <c r="H76" s="363" t="s">
        <v>415</v>
      </c>
      <c r="I76" s="42"/>
      <c r="J76" s="2019"/>
      <c r="K76" s="2998" t="str">
        <f>IF(项目基本情况!K6="上海银行",IF(K75="",4,K75+1),"")</f>
        <v/>
      </c>
      <c r="L76" s="3371" t="str">
        <f>IF(项目基本情况!K6="上海银行","其他处置费用","")</f>
        <v/>
      </c>
      <c r="M76" s="3372"/>
      <c r="N76" s="1291" t="str">
        <f>IF(项目基本情况!K6="上海银行",N89,"")</f>
        <v/>
      </c>
      <c r="O76" s="3373" t="str">
        <f>IF(项目基本情况!K6="上海银行","包含处置中涉及的律师、诉讼、拍卖、评估等费用","")</f>
        <v/>
      </c>
      <c r="P76" s="3374"/>
      <c r="Q76" s="2012"/>
      <c r="R76" s="2012"/>
      <c r="S76" s="2012"/>
      <c r="T76" s="2012"/>
      <c r="U76" s="2012"/>
      <c r="V76" s="2012"/>
    </row>
    <row r="77" spans="1:22" ht="26.25" thickBot="1">
      <c r="A77" s="3358" t="s">
        <v>417</v>
      </c>
      <c r="B77" s="3359"/>
      <c r="C77" s="3359"/>
      <c r="D77" s="366">
        <f ca="1">IF(H77="非个人房产","——",IF(H77="个人住宅",0,ROUND(D63*I77,0)))</f>
        <v>224</v>
      </c>
      <c r="E77" s="367" t="str">
        <f>IF(H77="非个人房产","——","销售额×税（费）率")</f>
        <v>销售额×税（费）率</v>
      </c>
      <c r="F77" s="368">
        <f>IF(H77="非个人房产","——",IF(H77="个人住宅","免征",I77))</f>
        <v>0.01</v>
      </c>
      <c r="G77" s="983" t="s">
        <v>408</v>
      </c>
      <c r="H77" s="363" t="s">
        <v>2869</v>
      </c>
      <c r="I77" s="369">
        <v>0.01</v>
      </c>
      <c r="J77" s="2019"/>
      <c r="K77" s="3357">
        <f>IF(AND(K75="",K76=""),4,IF(项目基本情况!K6="上海银行",K76+1,K75+1))</f>
        <v>5</v>
      </c>
      <c r="L77" s="3356" t="s">
        <v>2870</v>
      </c>
      <c r="M77" s="3004" t="s">
        <v>412</v>
      </c>
      <c r="N77" s="1297"/>
      <c r="O77" s="1298">
        <f ca="1">SUMIF(N72:N76,"&lt;9e307")</f>
        <v>13482</v>
      </c>
      <c r="P77" s="1299"/>
      <c r="Q77" s="3002" t="e">
        <f ca="1">O77/N69</f>
        <v>#VALUE!</v>
      </c>
      <c r="R77" s="2012"/>
      <c r="S77" s="2012"/>
      <c r="T77" s="2012"/>
      <c r="U77" s="2012"/>
      <c r="V77" s="2012"/>
    </row>
    <row r="78" spans="1:22" ht="12" customHeight="1">
      <c r="A78" s="1300"/>
      <c r="B78" s="311"/>
      <c r="C78" s="311"/>
      <c r="D78" s="311"/>
      <c r="E78" s="42"/>
      <c r="F78" s="42"/>
      <c r="G78" s="42"/>
      <c r="H78" s="1002"/>
      <c r="I78" s="311"/>
      <c r="J78" s="2019"/>
      <c r="K78" s="3357"/>
      <c r="L78" s="3356"/>
      <c r="M78" s="3004" t="s">
        <v>416</v>
      </c>
      <c r="N78" s="1297"/>
      <c r="O78" s="1298" t="str">
        <f ca="1">NUMBERSTRING(INT(O77*10000),2)&amp;"元整"</f>
        <v>壹亿叁仟肆佰捌拾贰万元整</v>
      </c>
      <c r="P78" s="1299"/>
      <c r="Q78" s="2012"/>
      <c r="R78" s="2012"/>
      <c r="S78" s="2012"/>
      <c r="T78" s="2012"/>
      <c r="U78" s="2012"/>
      <c r="V78" s="2012"/>
    </row>
    <row r="79" spans="1:22" ht="13.5" thickBot="1">
      <c r="A79" s="3326" t="s">
        <v>418</v>
      </c>
      <c r="B79" s="3326"/>
      <c r="C79" s="3326"/>
      <c r="D79" s="3326"/>
      <c r="E79" s="3326"/>
      <c r="F79" s="42"/>
      <c r="G79" s="42"/>
      <c r="H79" s="1002"/>
      <c r="I79" s="311"/>
      <c r="J79" s="2019"/>
      <c r="K79" s="3377">
        <f>K77+1</f>
        <v>6</v>
      </c>
      <c r="L79" s="3356" t="s">
        <v>2871</v>
      </c>
      <c r="M79" s="3004" t="s">
        <v>412</v>
      </c>
      <c r="N79" s="1297"/>
      <c r="O79" s="1298" t="e">
        <f ca="1">N69-O77</f>
        <v>#VALUE!</v>
      </c>
      <c r="P79" s="1299"/>
      <c r="Q79" s="2012"/>
      <c r="R79" s="2012"/>
      <c r="S79" s="2012"/>
      <c r="T79" s="2012"/>
      <c r="U79" s="2012"/>
      <c r="V79" s="2012"/>
    </row>
    <row r="80" spans="1:22" ht="12.75">
      <c r="A80" s="3327" t="s">
        <v>419</v>
      </c>
      <c r="B80" s="3328"/>
      <c r="C80" s="993"/>
      <c r="D80" s="993" t="s">
        <v>420</v>
      </c>
      <c r="E80" s="370" t="s">
        <v>421</v>
      </c>
      <c r="F80" s="42"/>
      <c r="G80" s="42"/>
      <c r="H80" s="1002"/>
      <c r="I80" s="311"/>
      <c r="J80" s="2012"/>
      <c r="K80" s="3378"/>
      <c r="L80" s="3356"/>
      <c r="M80" s="3004" t="s">
        <v>416</v>
      </c>
      <c r="N80" s="1297"/>
      <c r="O80" s="1298" t="e">
        <f ca="1">NUMBERSTRING(INT(O79*10000),2)&amp;"元整"</f>
        <v>#VALUE!</v>
      </c>
      <c r="P80" s="1299"/>
      <c r="Q80" s="2012"/>
      <c r="R80" s="2012"/>
      <c r="S80" s="2012"/>
      <c r="T80" s="2012"/>
      <c r="U80" s="2012"/>
      <c r="V80" s="2012"/>
    </row>
    <row r="81" spans="1:26" ht="13.5" thickBot="1">
      <c r="A81" s="381" t="s">
        <v>1812</v>
      </c>
      <c r="B81" s="371" t="s">
        <v>422</v>
      </c>
      <c r="C81" s="372">
        <f ca="1">ROUND((C82+C83)/(1+'数据-取费表'!C42),0)</f>
        <v>21307</v>
      </c>
      <c r="D81" s="373"/>
      <c r="E81" s="374"/>
      <c r="F81" s="42"/>
      <c r="G81" s="42"/>
      <c r="H81" s="1002"/>
      <c r="I81" s="311"/>
      <c r="J81" s="2012"/>
      <c r="K81" s="2998">
        <f>K79+1</f>
        <v>7</v>
      </c>
      <c r="L81" s="3354" t="s">
        <v>2872</v>
      </c>
      <c r="M81" s="3355"/>
      <c r="N81" s="1301"/>
      <c r="O81" s="1302" t="e">
        <f ca="1">ROUND(O79*10000/'数据-汇总表'!E3,0)</f>
        <v>#VALUE!</v>
      </c>
      <c r="P81" s="1303"/>
      <c r="Q81" s="2012"/>
      <c r="R81" s="2012"/>
      <c r="S81" s="2012"/>
      <c r="T81" s="2012"/>
      <c r="U81" s="2012"/>
      <c r="V81" s="2012"/>
    </row>
    <row r="82" spans="1:26" ht="13.5" thickTop="1">
      <c r="A82" s="375" t="s">
        <v>1813</v>
      </c>
      <c r="B82" s="376" t="s">
        <v>423</v>
      </c>
      <c r="C82" s="377">
        <f ca="1">D63</f>
        <v>22372</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1814</v>
      </c>
      <c r="B83" s="376" t="s">
        <v>424</v>
      </c>
      <c r="C83" s="380">
        <v>0</v>
      </c>
      <c r="D83" s="378"/>
      <c r="E83" s="379"/>
      <c r="F83" s="42"/>
      <c r="G83" s="42"/>
      <c r="H83" s="1002"/>
      <c r="I83" s="311"/>
      <c r="J83" s="2012"/>
      <c r="K83" s="3370" t="s">
        <v>2859</v>
      </c>
      <c r="L83" s="3010" t="s">
        <v>2860</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1815</v>
      </c>
      <c r="B84" s="382" t="s">
        <v>425</v>
      </c>
      <c r="C84" s="383">
        <v>2000</v>
      </c>
      <c r="D84" s="384" t="s">
        <v>19</v>
      </c>
      <c r="E84" s="3045" t="s">
        <v>2927</v>
      </c>
      <c r="F84" s="42"/>
      <c r="G84" s="42"/>
      <c r="H84" s="1002"/>
      <c r="I84" s="311"/>
      <c r="J84" s="2012"/>
      <c r="K84" s="3370"/>
      <c r="L84" s="3010" t="s">
        <v>2861</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2862</v>
      </c>
      <c r="P84" s="2012"/>
      <c r="Q84" s="2012"/>
      <c r="R84" s="2012"/>
      <c r="S84" s="2012"/>
      <c r="T84" s="2012"/>
      <c r="U84" s="2012"/>
      <c r="V84" s="2012"/>
    </row>
    <row r="85" spans="1:26" ht="12.75">
      <c r="A85" s="381" t="s">
        <v>1816</v>
      </c>
      <c r="B85" s="382" t="s">
        <v>426</v>
      </c>
      <c r="C85" s="385">
        <f ca="1">C81-C84</f>
        <v>19307</v>
      </c>
      <c r="D85" s="378" t="s">
        <v>19</v>
      </c>
      <c r="E85" s="379"/>
      <c r="F85" s="42"/>
      <c r="G85" s="42"/>
      <c r="H85" s="1002"/>
      <c r="I85" s="311"/>
      <c r="J85" s="2012"/>
      <c r="K85" s="3370"/>
      <c r="L85" s="3010" t="s">
        <v>2863</v>
      </c>
      <c r="M85" s="3000" t="e">
        <f>IF(N69&gt;1000,N69*0.1%,IF(AND(N69&gt;500,N69&lt;=1000),N69*0.5%,IF(AND(N69&gt;50,N69&lt;=500),N69*1%,IF(AND(N69&gt;1,N69&lt;=50),N69*1.5%))))</f>
        <v>#VALUE!</v>
      </c>
      <c r="N85" s="53" t="e">
        <f t="shared" si="2"/>
        <v>#VALUE!</v>
      </c>
      <c r="O85" s="2012" t="s">
        <v>2862</v>
      </c>
      <c r="P85" s="2012"/>
      <c r="Q85" s="2012"/>
      <c r="R85" s="2012"/>
      <c r="S85" s="2012"/>
      <c r="T85" s="2012"/>
      <c r="U85" s="2012"/>
      <c r="V85" s="2012"/>
    </row>
    <row r="86" spans="1:26" ht="13.5" thickBot="1">
      <c r="A86" s="386" t="s">
        <v>1817</v>
      </c>
      <c r="B86" s="387" t="s">
        <v>427</v>
      </c>
      <c r="C86" s="388">
        <f ca="1">IF(C85&lt;=0,0,ROUND(C85*D86,0))</f>
        <v>1081</v>
      </c>
      <c r="D86" s="389">
        <f>'数据-取费表'!B41</f>
        <v>5.6000000000000001E-2</v>
      </c>
      <c r="E86" s="390"/>
      <c r="F86" s="42"/>
      <c r="G86" s="42"/>
      <c r="H86" s="1002"/>
      <c r="I86" s="311"/>
      <c r="J86" s="2012"/>
      <c r="K86" s="3370"/>
      <c r="L86" s="3010" t="s">
        <v>2864</v>
      </c>
      <c r="M86" s="3000" t="e">
        <f>N69*0.5%</f>
        <v>#VALUE!</v>
      </c>
      <c r="N86" s="53" t="e">
        <f>IF(M86&gt;0.5,0.5,ROUND(M86,0))</f>
        <v>#VALUE!</v>
      </c>
      <c r="O86" s="2012" t="s">
        <v>2865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70"/>
      <c r="L87" s="3010" t="s">
        <v>2866</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9" customFormat="1" ht="15" thickBot="1">
      <c r="A88" s="3349" t="s">
        <v>428</v>
      </c>
      <c r="B88" s="3350"/>
      <c r="C88" s="3350"/>
      <c r="D88" s="3350"/>
      <c r="E88" s="3350"/>
      <c r="F88" s="3350"/>
      <c r="G88" s="3350"/>
      <c r="H88" s="3350"/>
      <c r="I88" s="1310"/>
      <c r="J88" s="2020"/>
      <c r="K88" s="3370"/>
      <c r="L88" s="3010" t="s">
        <v>2867</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9" customFormat="1" ht="14.25">
      <c r="A89" s="3327" t="s">
        <v>419</v>
      </c>
      <c r="B89" s="3328"/>
      <c r="C89" s="993"/>
      <c r="D89" s="993" t="s">
        <v>420</v>
      </c>
      <c r="E89" s="391" t="s">
        <v>429</v>
      </c>
      <c r="F89" s="392"/>
      <c r="G89" s="392"/>
      <c r="H89" s="393"/>
      <c r="I89" s="1311"/>
      <c r="J89" s="2022"/>
      <c r="K89" s="3370"/>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9" customFormat="1" ht="14.25">
      <c r="A90" s="381" t="s">
        <v>1812</v>
      </c>
      <c r="B90" s="382" t="s">
        <v>430</v>
      </c>
      <c r="C90" s="385">
        <f ca="1">ROUND(D63/(1+'数据-取费表'!C42),0)</f>
        <v>21307</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1818</v>
      </c>
      <c r="B91" s="348" t="s">
        <v>431</v>
      </c>
      <c r="C91" s="385">
        <f ca="1">C92+C96</f>
        <v>2689</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1819</v>
      </c>
      <c r="B92" s="376" t="s">
        <v>432</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1820</v>
      </c>
      <c r="B93" s="376" t="s">
        <v>433</v>
      </c>
      <c r="C93" s="396">
        <v>2000</v>
      </c>
      <c r="D93" s="378" t="s">
        <v>19</v>
      </c>
      <c r="E93" s="397" t="s">
        <v>434</v>
      </c>
      <c r="F93" s="398" t="s">
        <v>435</v>
      </c>
      <c r="G93" s="397" t="s">
        <v>436</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1821</v>
      </c>
      <c r="B94" s="400" t="s">
        <v>437</v>
      </c>
      <c r="C94" s="378">
        <f>IF(F93="购房发票",ROUND(C93*H93*5%,0),0)</f>
        <v>500</v>
      </c>
      <c r="D94" s="401">
        <v>0.05</v>
      </c>
      <c r="E94" s="3309" t="s">
        <v>438</v>
      </c>
      <c r="F94" s="3308"/>
      <c r="G94" s="3308"/>
      <c r="H94" s="334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1822</v>
      </c>
      <c r="B95" s="376" t="s">
        <v>439</v>
      </c>
      <c r="C95" s="378">
        <f>ROUND(IF(G95="个人买卖住房",0,IF(G95="2016年5月1日前购买",C93*D95,C93*D95/(1+'数据-取费表'!C42))),0)</f>
        <v>61</v>
      </c>
      <c r="D95" s="402">
        <f>'数据-取费表'!B48+'数据-取费表'!B49</f>
        <v>3.0499999999999999E-2</v>
      </c>
      <c r="E95" s="26" t="s">
        <v>440</v>
      </c>
      <c r="F95" s="403"/>
      <c r="G95" s="404" t="s">
        <v>2415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1823</v>
      </c>
      <c r="B96" s="376" t="s">
        <v>441</v>
      </c>
      <c r="C96" s="405">
        <f ca="1">ROUND(D63*D96/(1+'数据-取费表'!C42),0)</f>
        <v>128</v>
      </c>
      <c r="D96" s="406">
        <f>'数据-取费表'!B43</f>
        <v>6.000000000000001E-3</v>
      </c>
      <c r="E96" s="3340" t="s">
        <v>2414</v>
      </c>
      <c r="F96" s="3341"/>
      <c r="G96" s="3341"/>
      <c r="H96" s="3342"/>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1824</v>
      </c>
      <c r="B97" s="382" t="s">
        <v>442</v>
      </c>
      <c r="C97" s="385">
        <f ca="1">C90-C91</f>
        <v>18618</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1825</v>
      </c>
      <c r="B98" s="382" t="s">
        <v>443</v>
      </c>
      <c r="C98" s="407">
        <f ca="1">IF(C97&lt;=0,0,C97/C91)</f>
        <v>6.9237634808478985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1826</v>
      </c>
      <c r="B99" s="387" t="s">
        <v>444</v>
      </c>
      <c r="C99" s="408">
        <f ca="1">ROUND(IF(C97&lt;=0,0,IF(C98&gt;=200%,C97*60%-C91*35%,IF(C98&gt;=100%,C97*50%-C91*15%,IF(C98&gt;=50%,C97*40%-C91*5%,IF(C98&lt;50%,C97*30%,0))))),0)</f>
        <v>10230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9" t="s">
        <v>445</v>
      </c>
      <c r="B101" s="3350"/>
      <c r="C101" s="3350"/>
      <c r="D101" s="3350"/>
      <c r="E101" s="3350"/>
      <c r="F101" s="3350"/>
      <c r="G101" s="3350"/>
      <c r="H101" s="335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7" t="s">
        <v>419</v>
      </c>
      <c r="B102" s="3328"/>
      <c r="C102" s="993"/>
      <c r="D102" s="993" t="s">
        <v>420</v>
      </c>
      <c r="E102" s="391" t="s">
        <v>429</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1812</v>
      </c>
      <c r="B103" s="382" t="s">
        <v>430</v>
      </c>
      <c r="C103" s="385">
        <f ca="1">ROUND(D63/(1+'数据-取费表'!C42),0)</f>
        <v>21307</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1818</v>
      </c>
      <c r="B104" s="348" t="s">
        <v>431</v>
      </c>
      <c r="C104" s="385">
        <f ca="1">IF(H106="仅含出让金",C105+C108+C109+C110+C111+C112,C105+C109+C110+C111+C112)</f>
        <v>757</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1819</v>
      </c>
      <c r="B105" s="376" t="s">
        <v>446</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1820</v>
      </c>
      <c r="B106" s="376" t="s">
        <v>447</v>
      </c>
      <c r="C106" s="416">
        <v>555</v>
      </c>
      <c r="D106" s="406"/>
      <c r="E106" s="417" t="s">
        <v>448</v>
      </c>
      <c r="F106" s="985"/>
      <c r="G106" s="418" t="s">
        <v>449</v>
      </c>
      <c r="H106" s="419" t="s">
        <v>2425</v>
      </c>
      <c r="I106" s="11" t="s">
        <v>2986</v>
      </c>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1821</v>
      </c>
      <c r="B107" s="376" t="s">
        <v>439</v>
      </c>
      <c r="C107" s="405">
        <f>ROUND(C106*D107,0)</f>
        <v>17</v>
      </c>
      <c r="D107" s="406">
        <f>'数据-取费表'!B48+'数据-取费表'!B49</f>
        <v>3.0499999999999999E-2</v>
      </c>
      <c r="E107" s="417" t="s">
        <v>450</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1823</v>
      </c>
      <c r="B108" s="376" t="s">
        <v>451</v>
      </c>
      <c r="C108" s="416"/>
      <c r="D108" s="406"/>
      <c r="E108" s="417" t="str">
        <f>IF(H106="-","土地取得成本中已包含该笔费用"," ")</f>
        <v xml:space="preserve"> </v>
      </c>
      <c r="F108" s="985"/>
      <c r="G108" s="3303" t="s">
        <v>2988</v>
      </c>
      <c r="H108" s="3304"/>
      <c r="I108" s="3185" t="s">
        <v>2987</v>
      </c>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1827</v>
      </c>
      <c r="B109" s="376" t="s">
        <v>452</v>
      </c>
      <c r="C109" s="405">
        <f>IF(H109="——",IF(F1="现房",'剩余法-现房'!C18,0),I109)</f>
        <v>0</v>
      </c>
      <c r="D109" s="406"/>
      <c r="E109" s="3343" t="s">
        <v>453</v>
      </c>
      <c r="F109" s="3341"/>
      <c r="G109" s="3341"/>
      <c r="H109" s="1925" t="s">
        <v>941</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1828</v>
      </c>
      <c r="B110" s="376" t="s">
        <v>454</v>
      </c>
      <c r="C110" s="405">
        <f>ROUND((C105+C108+C109)*D110,0)</f>
        <v>57</v>
      </c>
      <c r="D110" s="406">
        <v>0.1</v>
      </c>
      <c r="E110" s="3343" t="s">
        <v>455</v>
      </c>
      <c r="F110" s="3341"/>
      <c r="G110" s="3341"/>
      <c r="H110" s="3342"/>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1829</v>
      </c>
      <c r="B111" s="376" t="s">
        <v>441</v>
      </c>
      <c r="C111" s="405">
        <f ca="1">ROUND(D63*D111/(1+'数据-取费表'!C42),0)</f>
        <v>128</v>
      </c>
      <c r="D111" s="406">
        <f>'数据-取费表'!B43</f>
        <v>6.000000000000001E-3</v>
      </c>
      <c r="E111" s="3340" t="s">
        <v>2414</v>
      </c>
      <c r="F111" s="3341"/>
      <c r="G111" s="3341"/>
      <c r="H111" s="3342"/>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1830</v>
      </c>
      <c r="B112" s="376" t="s">
        <v>456</v>
      </c>
      <c r="C112" s="405">
        <f>ROUND(C108*D112,0)</f>
        <v>0</v>
      </c>
      <c r="D112" s="406">
        <v>0.2</v>
      </c>
      <c r="E112" s="3343" t="s">
        <v>2439</v>
      </c>
      <c r="F112" s="3341"/>
      <c r="G112" s="3341"/>
      <c r="H112" s="3342"/>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1824</v>
      </c>
      <c r="B113" s="382" t="s">
        <v>442</v>
      </c>
      <c r="C113" s="385">
        <f ca="1">ROUND(C103-C104,0)</f>
        <v>20550</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1825</v>
      </c>
      <c r="B114" s="382" t="s">
        <v>443</v>
      </c>
      <c r="C114" s="407">
        <f ca="1">IF(C113&lt;=0,0,C113/C104)</f>
        <v>27.146631439894321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1826</v>
      </c>
      <c r="B115" s="387" t="s">
        <v>444</v>
      </c>
      <c r="C115" s="408">
        <f ca="1">ROUND(IF(C113&lt;=0,0,IF(C114&gt;=200%,C113*60%-C104*35%,IF(C114&gt;=100%,C113*50%-C104*15%,IF(C114&gt;=50%,C113*40%-C104*5%,IF(C114&lt;50%,C113*30%,0))))),0)</f>
        <v>12065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2" workbookViewId="0">
      <selection activeCell="F8" sqref="F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457</v>
      </c>
      <c r="B1" s="2763"/>
      <c r="C1" s="2088"/>
      <c r="D1" s="2088"/>
      <c r="E1" s="2088"/>
      <c r="F1" s="2088"/>
      <c r="G1" s="2088"/>
      <c r="H1" s="2088"/>
      <c r="I1" s="2088"/>
      <c r="J1" s="2088"/>
      <c r="K1" s="422">
        <f>MATCH(B1,'数据-取费表'!A6:A16,0)+5</f>
        <v>12</v>
      </c>
    </row>
    <row r="2" spans="1:31" s="2025" customFormat="1" ht="18" customHeight="1">
      <c r="A2" s="2085" t="s">
        <v>458</v>
      </c>
      <c r="B2" s="2089">
        <f ca="1">C36</f>
        <v>34625</v>
      </c>
      <c r="C2" s="2088"/>
      <c r="D2" s="2088"/>
      <c r="E2" s="2088"/>
      <c r="F2" s="2088"/>
      <c r="G2" s="2088"/>
      <c r="H2" s="2088"/>
      <c r="I2" s="2088"/>
      <c r="J2" s="2088"/>
      <c r="K2" s="2088"/>
    </row>
    <row r="3" spans="1:31" s="2025" customFormat="1" ht="18" customHeight="1">
      <c r="A3" s="2090" t="s">
        <v>1673</v>
      </c>
      <c r="B3" s="2091">
        <f ca="1">ROUND(B2*10000/IF(B1="",'数据-汇总表'!E3,INDIRECT("'数据-取费表'!K"&amp;$K$1)),0)</f>
        <v>1408</v>
      </c>
      <c r="C3" s="2088"/>
      <c r="D3" s="2088"/>
      <c r="E3" s="2088"/>
      <c r="F3" s="2088"/>
      <c r="G3" s="2088"/>
      <c r="H3" s="2088"/>
      <c r="I3" s="2088"/>
      <c r="J3" s="2088"/>
      <c r="K3" s="2088"/>
    </row>
    <row r="4" spans="1:31" s="2025" customFormat="1" ht="18" customHeight="1">
      <c r="A4" s="426" t="s">
        <v>459</v>
      </c>
      <c r="B4" s="427">
        <f ca="1">ROUND(B2*10000/IF(B1="",'数据-汇总表'!D3,INDIRECT("'数据-取费表'!R"&amp;$K$1)),0)</f>
        <v>3992</v>
      </c>
      <c r="C4" s="428"/>
      <c r="D4" s="422"/>
      <c r="E4" s="422"/>
      <c r="F4" s="422"/>
      <c r="G4" s="422"/>
      <c r="H4" s="422"/>
      <c r="I4" s="422"/>
      <c r="J4" s="422"/>
      <c r="K4" s="422"/>
    </row>
    <row r="5" spans="1:31" s="2025" customFormat="1" ht="18" customHeight="1" thickBot="1">
      <c r="A5" s="429"/>
      <c r="B5" s="430">
        <f ca="1">ROUND(B2/(IF(B1="",'数据-汇总表'!D3,INDIRECT("'数据-取费表'!R"&amp;$K$1))/666.67),0)</f>
        <v>266</v>
      </c>
      <c r="C5" s="431" t="s">
        <v>460</v>
      </c>
      <c r="D5" s="422"/>
      <c r="E5" s="422"/>
      <c r="F5" s="422"/>
      <c r="G5" s="422"/>
      <c r="H5" s="422"/>
      <c r="I5" s="422"/>
      <c r="J5" s="422"/>
      <c r="K5" s="422"/>
    </row>
    <row r="6" spans="1:31" s="2095" customFormat="1" ht="16.5" customHeight="1">
      <c r="A6" s="2782" t="s">
        <v>1831</v>
      </c>
      <c r="B6" s="2783"/>
      <c r="C6" s="2784">
        <f ca="1">SUM(C10:K10)</f>
        <v>152309</v>
      </c>
      <c r="D6" s="2783"/>
      <c r="E6" s="2783"/>
      <c r="F6" s="2783"/>
      <c r="G6" s="2783"/>
      <c r="H6" s="2783"/>
      <c r="I6" s="2783"/>
      <c r="J6" s="2783"/>
      <c r="K6" s="2785"/>
    </row>
    <row r="7" spans="1:31" s="2097" customFormat="1" ht="15">
      <c r="A7" s="2786" t="s">
        <v>461</v>
      </c>
      <c r="B7" s="2787" t="s">
        <v>462</v>
      </c>
      <c r="C7" s="436" t="s">
        <v>3094</v>
      </c>
      <c r="D7" s="436" t="s">
        <v>3023</v>
      </c>
      <c r="E7" s="436" t="s">
        <v>2989</v>
      </c>
      <c r="F7" s="436" t="s">
        <v>3123</v>
      </c>
      <c r="G7" s="436" t="s">
        <v>3092</v>
      </c>
      <c r="H7" s="436" t="s">
        <v>1666</v>
      </c>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1834</v>
      </c>
      <c r="B8" s="261" t="s">
        <v>463</v>
      </c>
      <c r="C8" s="2788">
        <f ca="1">不动产收益法!B3</f>
        <v>4041</v>
      </c>
      <c r="D8" s="2788">
        <v>9000</v>
      </c>
      <c r="E8" s="2788">
        <v>15000</v>
      </c>
      <c r="F8" s="2788">
        <f>D8</f>
        <v>9000</v>
      </c>
      <c r="G8" s="2788">
        <f ca="1">'不动产收益法 (2)'!B3</f>
        <v>881</v>
      </c>
      <c r="H8" s="2788">
        <f>D8</f>
        <v>9000</v>
      </c>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1835</v>
      </c>
      <c r="B9" s="261" t="s">
        <v>464</v>
      </c>
      <c r="C9" s="441">
        <f>SUMIF('数据-汇总表'!$C19:$C33,'剩余法-待开发'!C7,'数据-汇总表'!$E19:$E33)</f>
        <v>24597.9</v>
      </c>
      <c r="D9" s="441">
        <f>SUMIF('数据-汇总表'!$C19:$C33,'剩余法-待开发'!D7,'数据-汇总表'!$E19:$E33)</f>
        <v>76401</v>
      </c>
      <c r="E9" s="441">
        <f>SUMIF('数据-汇总表'!$C19:$C33,'剩余法-待开发'!E7,'数据-汇总表'!$E19:$E33)</f>
        <v>14850</v>
      </c>
      <c r="F9" s="441">
        <f>SUMIF('数据-汇总表'!$C19:$C33,'剩余法-待开发'!F7,'数据-汇总表'!$E19:$E33)</f>
        <v>27150</v>
      </c>
      <c r="G9" s="441">
        <f>SUMIF('数据-汇总表'!$C19:$C33,'剩余法-待开发'!G7,'数据-汇总表'!$E19:$E33)</f>
        <v>38387.129999999997</v>
      </c>
      <c r="H9" s="441">
        <f>SUMIF('数据-汇总表'!$C19:$C33,'剩余法-待开发'!H7,'数据-汇总表'!$E19:$E33)</f>
        <v>26128.54</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1836</v>
      </c>
      <c r="B10" s="2776" t="s">
        <v>465</v>
      </c>
      <c r="C10" s="2980">
        <f ca="1">ROUND(C8*C9/10000,0)</f>
        <v>9940</v>
      </c>
      <c r="D10" s="2980">
        <f>ROUND(D8*D9/10000,0)</f>
        <v>68761</v>
      </c>
      <c r="E10" s="2980">
        <f t="shared" ref="E10:G10" si="0">ROUND(E8*E9/10000,0)</f>
        <v>22275</v>
      </c>
      <c r="F10" s="2980">
        <f t="shared" si="0"/>
        <v>24435</v>
      </c>
      <c r="G10" s="2980">
        <f t="shared" ca="1" si="0"/>
        <v>3382</v>
      </c>
      <c r="H10" s="2980">
        <f>ROUND(H8*H9/10000,0)</f>
        <v>23516</v>
      </c>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1832</v>
      </c>
      <c r="B11" s="2783"/>
      <c r="C11" s="2783"/>
      <c r="D11" s="2783"/>
      <c r="E11" s="2783"/>
      <c r="F11" s="2783"/>
      <c r="G11" s="2783"/>
      <c r="H11" s="2783"/>
      <c r="I11" s="2783"/>
      <c r="J11" s="2783"/>
      <c r="K11" s="2785"/>
    </row>
    <row r="12" spans="1:31" s="2069" customFormat="1" ht="13.5" customHeight="1">
      <c r="A12" s="2794" t="s">
        <v>461</v>
      </c>
      <c r="B12" s="2766" t="s">
        <v>462</v>
      </c>
      <c r="C12" s="2795" t="s">
        <v>466</v>
      </c>
      <c r="D12" s="2762" t="s">
        <v>467</v>
      </c>
      <c r="E12" s="2762" t="s">
        <v>468</v>
      </c>
      <c r="F12" s="2762" t="s">
        <v>469</v>
      </c>
      <c r="G12" s="2766"/>
      <c r="H12" s="2767"/>
      <c r="I12" s="2767"/>
      <c r="J12" s="2767"/>
      <c r="K12" s="2768"/>
    </row>
    <row r="13" spans="1:31" s="2100" customFormat="1" ht="13.5" customHeight="1">
      <c r="A13" s="2796" t="s">
        <v>1837</v>
      </c>
      <c r="B13" s="2797" t="s">
        <v>470</v>
      </c>
      <c r="C13" s="450">
        <f ca="1">IF(B1="",'数据-取费表'!P16,INDIRECT("'数据-取费表'!p"&amp;$K$1)+INDIRECT("'数据-取费表'!t"&amp;$K$1))</f>
        <v>62867</v>
      </c>
      <c r="D13" s="2798"/>
      <c r="E13" s="2799"/>
      <c r="F13" s="2800"/>
      <c r="G13" s="2766"/>
      <c r="H13" s="2767"/>
      <c r="I13" s="2767"/>
      <c r="J13" s="2767"/>
      <c r="K13" s="2768"/>
    </row>
    <row r="14" spans="1:31" s="2100" customFormat="1" ht="13.5" customHeight="1">
      <c r="A14" s="2796" t="s">
        <v>1838</v>
      </c>
      <c r="B14" s="2797" t="s">
        <v>471</v>
      </c>
      <c r="C14" s="53">
        <f ca="1">ROUND(C13*F14,0)</f>
        <v>1886</v>
      </c>
      <c r="D14" s="2798"/>
      <c r="E14" s="2799"/>
      <c r="F14" s="2801">
        <f>'数据-取费表'!B33</f>
        <v>0.03</v>
      </c>
      <c r="G14" s="2766" t="s">
        <v>472</v>
      </c>
      <c r="H14" s="2767"/>
      <c r="I14" s="2767"/>
      <c r="J14" s="2767"/>
      <c r="K14" s="2768"/>
    </row>
    <row r="15" spans="1:31" s="2100" customFormat="1" ht="13.5" customHeight="1">
      <c r="A15" s="2796" t="s">
        <v>1839</v>
      </c>
      <c r="B15" s="2797" t="s">
        <v>473</v>
      </c>
      <c r="C15" s="53">
        <f ca="1">ROUND(IF(B1="",SUMIF('数据-取费表'!C:C,"住宅",'数据-取费表'!P:P)*F15,IF(INDIRECT("'数据-取费表'!c"&amp;$K$1)="住宅",INDIRECT("'数据-取费表'!P"&amp;$K$1)*F15,0)),0)</f>
        <v>0</v>
      </c>
      <c r="D15" s="2798"/>
      <c r="E15" s="2799"/>
      <c r="F15" s="2801">
        <f>'数据-取费表'!B34</f>
        <v>0</v>
      </c>
      <c r="G15" s="2766" t="s">
        <v>474</v>
      </c>
      <c r="H15" s="2767"/>
      <c r="I15" s="2767"/>
      <c r="J15" s="2767"/>
      <c r="K15" s="2768"/>
    </row>
    <row r="16" spans="1:31" s="2101" customFormat="1" ht="13.5" customHeight="1">
      <c r="A16" s="2796" t="s">
        <v>1840</v>
      </c>
      <c r="B16" s="2797" t="s">
        <v>475</v>
      </c>
      <c r="C16" s="53">
        <f ca="1">ROUND(D16*E16/10000,0)</f>
        <v>4918</v>
      </c>
      <c r="D16" s="2798">
        <f ca="1">IF(B1="",'数据-汇总表'!E3,INDIRECT("'数据-取费表'!K"&amp;$K$1)+INDIRECT("'数据-取费表'!S"&amp;$K$1))</f>
        <v>245924.74</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1841</v>
      </c>
      <c r="B17" s="2797" t="s">
        <v>476</v>
      </c>
      <c r="C17" s="2802">
        <f ca="1">ROUND(C13*F17,0)</f>
        <v>943</v>
      </c>
      <c r="D17" s="475"/>
      <c r="E17" s="2802"/>
      <c r="F17" s="2803">
        <f>'数据-取费表'!B36</f>
        <v>1.4999999999999999E-2</v>
      </c>
      <c r="G17" s="261" t="s">
        <v>477</v>
      </c>
      <c r="H17" s="2769"/>
      <c r="I17" s="2769"/>
      <c r="J17" s="2769"/>
      <c r="K17" s="279"/>
    </row>
    <row r="18" spans="1:14" s="2100" customFormat="1" ht="13.5" customHeight="1">
      <c r="A18" s="2804" t="s">
        <v>1842</v>
      </c>
      <c r="B18" s="2805" t="s">
        <v>478</v>
      </c>
      <c r="C18" s="2806">
        <f ca="1">SUM(C13:C17)</f>
        <v>70614</v>
      </c>
      <c r="D18" s="2807"/>
      <c r="E18" s="468"/>
      <c r="F18" s="468"/>
      <c r="G18" s="2770" t="s">
        <v>2416</v>
      </c>
      <c r="H18" s="2771"/>
      <c r="I18" s="2771"/>
      <c r="J18" s="2771"/>
      <c r="K18" s="2772"/>
    </row>
    <row r="19" spans="1:14" s="2100" customFormat="1" ht="13.5" customHeight="1">
      <c r="A19" s="2804" t="s">
        <v>1843</v>
      </c>
      <c r="B19" s="2805" t="s">
        <v>479</v>
      </c>
      <c r="C19" s="2762">
        <f ca="1">ROUND(D19*E19/10000,0)</f>
        <v>4918</v>
      </c>
      <c r="D19" s="2808">
        <f ca="1">D16</f>
        <v>245924.74</v>
      </c>
      <c r="E19" s="2762">
        <f>'数据-取费表'!B32</f>
        <v>200</v>
      </c>
      <c r="F19" s="468"/>
      <c r="G19" s="2766" t="s">
        <v>480</v>
      </c>
      <c r="H19" s="2767"/>
      <c r="I19" s="2771"/>
      <c r="J19" s="2771"/>
      <c r="K19" s="2772"/>
    </row>
    <row r="20" spans="1:14" s="2100" customFormat="1" ht="13.5" customHeight="1">
      <c r="A20" s="2804" t="s">
        <v>1844</v>
      </c>
      <c r="B20" s="2805" t="s">
        <v>481</v>
      </c>
      <c r="C20" s="2762">
        <f ca="1">C21+C22-IF(B1="",'数据-取费表'!B29,IF(G20="已全部缴纳",C21+C22,H20))</f>
        <v>1230</v>
      </c>
      <c r="D20" s="2808"/>
      <c r="E20" s="2762"/>
      <c r="F20" s="2809"/>
      <c r="G20" s="3033"/>
      <c r="H20" s="2764"/>
      <c r="I20" s="2765" t="s">
        <v>2636</v>
      </c>
      <c r="J20" s="2771"/>
      <c r="K20" s="2772"/>
    </row>
    <row r="21" spans="1:14" s="2100" customFormat="1" ht="13.5" customHeight="1">
      <c r="A21" s="2796" t="s">
        <v>1845</v>
      </c>
      <c r="B21" s="2797" t="s">
        <v>482</v>
      </c>
      <c r="C21" s="53">
        <f ca="1">ROUND(D21*E21/10000,0)</f>
        <v>0</v>
      </c>
      <c r="D21" s="2798">
        <f ca="1">IF(B1="",'数据-汇总表'!E5,IF(INDIRECT("'数据-取费表'!c"&amp;$K$1)="住宅",INDIRECT("'数据-取费表'!k"&amp;$K$1),0))</f>
        <v>0</v>
      </c>
      <c r="E21" s="53">
        <f>'数据-取费表'!B27</f>
        <v>50</v>
      </c>
      <c r="F21" s="2801"/>
      <c r="G21" s="26"/>
      <c r="H21" s="51"/>
      <c r="I21" s="51"/>
      <c r="J21" s="51"/>
      <c r="K21" s="2773"/>
    </row>
    <row r="22" spans="1:14" s="2100" customFormat="1" ht="13.5" customHeight="1">
      <c r="A22" s="2796" t="s">
        <v>1846</v>
      </c>
      <c r="B22" s="2797" t="s">
        <v>483</v>
      </c>
      <c r="C22" s="53">
        <f ca="1">ROUND(D22*E22/10000,0)</f>
        <v>1230</v>
      </c>
      <c r="D22" s="2798">
        <f ca="1">IF(B1="",'数据-汇总表'!E6,IF(INDIRECT("'数据-取费表'!c"&amp;$K$1)="住宅",INDIRECT("'数据-取费表'!s"&amp;$K$1),INDIRECT("'数据-取费表'!k"&amp;$K$1)+INDIRECT("'数据-取费表'!s"&amp;$K$1)))</f>
        <v>245924.74</v>
      </c>
      <c r="E22" s="53">
        <f>'数据-取费表'!B28</f>
        <v>50</v>
      </c>
      <c r="F22" s="2801"/>
      <c r="G22" s="26"/>
      <c r="H22" s="51"/>
      <c r="I22" s="51"/>
      <c r="J22" s="51"/>
      <c r="K22" s="2773"/>
    </row>
    <row r="23" spans="1:14" s="2100" customFormat="1" ht="13.5" customHeight="1">
      <c r="A23" s="2804" t="s">
        <v>1847</v>
      </c>
      <c r="B23" s="2986" t="s">
        <v>2819</v>
      </c>
      <c r="C23" s="2806">
        <f ca="1">ROUND((C18+C19+C20)*F23,0)</f>
        <v>1535</v>
      </c>
      <c r="D23" s="468"/>
      <c r="E23" s="468"/>
      <c r="F23" s="2810">
        <f>'数据-取费表'!B37</f>
        <v>0.02</v>
      </c>
      <c r="G23" s="2766" t="s">
        <v>2417</v>
      </c>
      <c r="H23" s="2767"/>
      <c r="I23" s="2767"/>
      <c r="J23" s="2767"/>
      <c r="K23" s="2768"/>
      <c r="L23" s="2102"/>
      <c r="M23" s="2102"/>
      <c r="N23" s="2102"/>
    </row>
    <row r="24" spans="1:14" s="2100" customFormat="1" ht="13.5" customHeight="1">
      <c r="A24" s="2804" t="s">
        <v>1848</v>
      </c>
      <c r="B24" s="2986" t="s">
        <v>2822</v>
      </c>
      <c r="C24" s="2806">
        <f ca="1">ROUND(C6*F24,0)</f>
        <v>3046</v>
      </c>
      <c r="D24" s="475"/>
      <c r="E24" s="473"/>
      <c r="F24" s="2810">
        <f>'数据-取费表'!B38</f>
        <v>0.02</v>
      </c>
      <c r="G24" s="2775" t="s">
        <v>490</v>
      </c>
      <c r="H24" s="2769"/>
      <c r="I24" s="2769"/>
      <c r="J24" s="2769"/>
      <c r="K24" s="279"/>
      <c r="L24" s="2102"/>
      <c r="M24" s="2102"/>
      <c r="N24" s="2102"/>
    </row>
    <row r="25" spans="1:14" s="2103" customFormat="1" ht="13.5" customHeight="1">
      <c r="A25" s="2804" t="s">
        <v>1849</v>
      </c>
      <c r="B25" s="2986" t="s">
        <v>2820</v>
      </c>
      <c r="C25" s="467">
        <f>ROUND(F25/(1+'数据-取费表'!C42),4)</f>
        <v>2.9000000000000001E-2</v>
      </c>
      <c r="D25" s="462" t="s">
        <v>2814</v>
      </c>
      <c r="E25" s="469"/>
      <c r="F25" s="2810">
        <f>IF(项目基本情况!B8="出让",0,'数据-取费表'!B48+'数据-取费表'!B49)</f>
        <v>3.0499999999999999E-2</v>
      </c>
      <c r="G25" s="2774" t="s">
        <v>2275</v>
      </c>
      <c r="H25" s="2767"/>
      <c r="I25" s="2767"/>
      <c r="J25" s="2767"/>
      <c r="K25" s="2768"/>
    </row>
    <row r="26" spans="1:14" s="2102" customFormat="1" ht="13.5" customHeight="1">
      <c r="A26" s="2804" t="s">
        <v>1850</v>
      </c>
      <c r="B26" s="2987" t="s">
        <v>2821</v>
      </c>
      <c r="C26" s="2811">
        <f ca="1">C28</f>
        <v>3864</v>
      </c>
      <c r="D26" s="467">
        <f ca="1">C27</f>
        <v>0.10009999999999999</v>
      </c>
      <c r="E26" s="469" t="s">
        <v>486</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1845</v>
      </c>
      <c r="B27" s="2812" t="s">
        <v>487</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1846</v>
      </c>
      <c r="B28" s="2812" t="s">
        <v>2823</v>
      </c>
      <c r="C28" s="2814">
        <f ca="1">ROUND(IF('数据-取费表'!B22&lt;=1,(C18+C19+C20+C23+C24)*F26*'数据-取费表'!B24/2,(C18+C19+C20+C23+C24)*(POWER((1+F26),'数据-取费表'!B24/2)-1)),0)</f>
        <v>3864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1851</v>
      </c>
      <c r="B29" s="2805" t="s">
        <v>488</v>
      </c>
      <c r="C29" s="2806">
        <f ca="1">ROUND(C6*F29/(1+'数据-取费表'!C42),0)</f>
        <v>8123</v>
      </c>
      <c r="D29" s="468"/>
      <c r="E29" s="468"/>
      <c r="F29" s="2988">
        <f>'数据-取费表'!B41</f>
        <v>5.6000000000000001E-2</v>
      </c>
      <c r="G29" s="2775" t="s">
        <v>489</v>
      </c>
      <c r="H29" s="2767"/>
      <c r="I29" s="2767"/>
      <c r="J29" s="2767"/>
      <c r="K29" s="2768"/>
    </row>
    <row r="30" spans="1:14" s="2105" customFormat="1" ht="13.5" customHeight="1">
      <c r="A30" s="1619" t="s">
        <v>1852</v>
      </c>
      <c r="B30" s="2816" t="s">
        <v>491</v>
      </c>
      <c r="C30" s="2811">
        <f ca="1">C31</f>
        <v>93330</v>
      </c>
      <c r="D30" s="477">
        <f ca="1">C32</f>
        <v>0.12909999999999999</v>
      </c>
      <c r="E30" s="469" t="s">
        <v>486</v>
      </c>
      <c r="F30" s="471"/>
      <c r="G30" s="2774" t="s">
        <v>2958</v>
      </c>
      <c r="H30" s="2767"/>
      <c r="I30" s="2767"/>
      <c r="J30" s="2767"/>
      <c r="K30" s="2768"/>
    </row>
    <row r="31" spans="1:14" s="2104" customFormat="1" ht="13.5" customHeight="1">
      <c r="A31" s="803" t="s">
        <v>1845</v>
      </c>
      <c r="B31" s="2812"/>
      <c r="C31" s="450">
        <f ca="1">C18+C19+C20+C23+C24+C26+C29</f>
        <v>93330</v>
      </c>
      <c r="D31" s="472"/>
      <c r="E31" s="473"/>
      <c r="F31" s="474"/>
      <c r="G31" s="261"/>
      <c r="H31" s="2769"/>
      <c r="I31" s="2769"/>
      <c r="J31" s="2769"/>
      <c r="K31" s="279"/>
    </row>
    <row r="32" spans="1:14" s="2104" customFormat="1" ht="13.5" customHeight="1">
      <c r="A32" s="803" t="s">
        <v>1846</v>
      </c>
      <c r="B32" s="2812"/>
      <c r="C32" s="53">
        <f ca="1">ROUND(C25+D26,4)</f>
        <v>0.12909999999999999</v>
      </c>
      <c r="D32" s="472"/>
      <c r="E32" s="473"/>
      <c r="F32" s="474"/>
      <c r="G32" s="261"/>
      <c r="H32" s="2769"/>
      <c r="I32" s="2769"/>
      <c r="J32" s="2769"/>
      <c r="K32" s="279"/>
    </row>
    <row r="33" spans="1:11" s="2106" customFormat="1" ht="13.5" customHeight="1">
      <c r="A33" s="2985" t="s">
        <v>2818</v>
      </c>
      <c r="B33" s="2983" t="s">
        <v>2816</v>
      </c>
      <c r="C33" s="478">
        <f ca="1">C35</f>
        <v>13828</v>
      </c>
      <c r="D33" s="467">
        <f ca="1">C34</f>
        <v>0.1749</v>
      </c>
      <c r="E33" s="469" t="s">
        <v>486</v>
      </c>
      <c r="F33" s="479">
        <f ca="1">IF(B1="",'数据-取费表'!Q16,INDIRECT("'数据-取费表'!q"&amp;$K$1))</f>
        <v>0.17</v>
      </c>
      <c r="G33" s="2770"/>
      <c r="H33" s="2771"/>
      <c r="I33" s="2771"/>
      <c r="J33" s="2771"/>
      <c r="K33" s="2772"/>
    </row>
    <row r="34" spans="1:11" s="2107" customFormat="1" ht="13.5" customHeight="1">
      <c r="A34" s="375" t="s">
        <v>1845</v>
      </c>
      <c r="B34" s="2817" t="s">
        <v>492</v>
      </c>
      <c r="C34" s="472">
        <f ca="1">ROUND((1+C25)*F33,4)</f>
        <v>0.1749</v>
      </c>
      <c r="D34" s="472"/>
      <c r="E34" s="473"/>
      <c r="F34" s="480"/>
      <c r="G34" s="261" t="s">
        <v>2276</v>
      </c>
      <c r="H34" s="2769"/>
      <c r="I34" s="2769"/>
      <c r="J34" s="2769"/>
      <c r="K34" s="279"/>
    </row>
    <row r="35" spans="1:11" s="2107" customFormat="1" ht="13.5" customHeight="1" thickBot="1">
      <c r="A35" s="1620" t="s">
        <v>1846</v>
      </c>
      <c r="B35" s="2984" t="s">
        <v>2824</v>
      </c>
      <c r="C35" s="1612">
        <f ca="1">ROUND((C18+C19+C20+C23+C24)*F33,0)</f>
        <v>13828</v>
      </c>
      <c r="D35" s="1613"/>
      <c r="E35" s="2818"/>
      <c r="F35" s="1614"/>
      <c r="G35" s="2776"/>
      <c r="H35" s="2777"/>
      <c r="I35" s="2777"/>
      <c r="J35" s="2777"/>
      <c r="K35" s="2778"/>
    </row>
    <row r="36" spans="1:11" s="2069" customFormat="1" ht="13.5" customHeight="1" thickBot="1">
      <c r="A36" s="284" t="s">
        <v>1833</v>
      </c>
      <c r="B36" s="2780"/>
      <c r="C36" s="2819">
        <f ca="1">ROUND((C6-C30-C33)/(1+D30+D33),0)</f>
        <v>34625</v>
      </c>
      <c r="D36" s="2780"/>
      <c r="E36" s="2780"/>
      <c r="F36" s="2780"/>
      <c r="G36" s="2779" t="s">
        <v>2825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1890</v>
      </c>
      <c r="B36" s="1638" t="s">
        <v>1891</v>
      </c>
    </row>
    <row r="37" spans="1:9" ht="28.5" customHeight="1">
      <c r="A37" s="1638"/>
      <c r="B37" s="3214" t="str">
        <f>项目基本情况!B1</f>
        <v>出让国有建设用地使用权预评估</v>
      </c>
      <c r="C37" s="3214"/>
      <c r="D37" s="3214"/>
      <c r="E37" s="3214"/>
      <c r="F37" s="3214"/>
      <c r="G37" s="3214"/>
      <c r="H37" s="3214"/>
      <c r="I37" s="3214"/>
    </row>
    <row r="38" spans="1:9">
      <c r="A38" s="1640"/>
      <c r="B38" s="1640"/>
    </row>
    <row r="39" spans="1:9">
      <c r="A39" s="1638" t="s">
        <v>1890</v>
      </c>
      <c r="B39" s="1638" t="s">
        <v>2033</v>
      </c>
    </row>
    <row r="40" spans="1:9">
      <c r="A40" s="1638"/>
      <c r="B40" s="1638">
        <f>项目基本情况!B5</f>
        <v>0</v>
      </c>
    </row>
    <row r="41" spans="1:9">
      <c r="A41" s="1638"/>
      <c r="B41" s="1638"/>
    </row>
    <row r="42" spans="1:9">
      <c r="A42" s="1638" t="s">
        <v>1890</v>
      </c>
      <c r="B42" s="1638" t="s">
        <v>2034</v>
      </c>
    </row>
    <row r="43" spans="1:9">
      <c r="A43" s="1638"/>
      <c r="B43" s="1638" t="s">
        <v>1892</v>
      </c>
    </row>
    <row r="44" spans="1:9">
      <c r="A44" s="1638"/>
      <c r="B44" s="1638"/>
    </row>
    <row r="45" spans="1:9">
      <c r="A45" s="1638" t="s">
        <v>1890</v>
      </c>
      <c r="B45" s="1638" t="s">
        <v>2032</v>
      </c>
    </row>
    <row r="46" spans="1:9" s="1638" customFormat="1" ht="12.75">
      <c r="B46" s="1638" t="str">
        <f>项目基本情况!K4</f>
        <v>土地估价师、土地估价师</v>
      </c>
    </row>
    <row r="47" spans="1:9">
      <c r="A47" s="1638"/>
      <c r="B47" s="1638"/>
    </row>
    <row r="48" spans="1:9">
      <c r="A48" s="1638" t="s">
        <v>1890</v>
      </c>
      <c r="B48" s="1638" t="s">
        <v>2035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457</v>
      </c>
      <c r="B1" s="2763"/>
      <c r="C1" s="2088"/>
      <c r="D1" s="2088"/>
      <c r="E1" s="2088"/>
      <c r="F1" s="2088"/>
      <c r="G1" s="2088"/>
      <c r="H1" s="2088"/>
      <c r="I1" s="2088"/>
      <c r="J1" s="2088"/>
      <c r="K1" s="422">
        <f>MATCH(B1,'数据-取费表'!A6:A16,0)+5</f>
        <v>12</v>
      </c>
    </row>
    <row r="2" spans="1:41" s="2025" customFormat="1" ht="18" customHeight="1">
      <c r="A2" s="423" t="s">
        <v>458</v>
      </c>
      <c r="B2" s="424">
        <f ca="1">C32</f>
        <v>0</v>
      </c>
      <c r="C2" s="2088"/>
      <c r="D2" s="2088"/>
      <c r="E2" s="2088"/>
      <c r="F2" s="2088"/>
      <c r="G2" s="2088"/>
      <c r="H2" s="2088"/>
      <c r="I2" s="2088"/>
      <c r="J2" s="2088"/>
      <c r="K2" s="2088"/>
    </row>
    <row r="3" spans="1:41" s="2025" customFormat="1" ht="18" customHeight="1">
      <c r="A3" s="1374" t="s">
        <v>1673</v>
      </c>
      <c r="B3" s="425">
        <f ca="1">ROUND(B2*10000/IF(B1="",'数据-汇总表'!E3,INDIRECT("'数据-取费表'!K"&amp;$K$1)),0)</f>
        <v>0</v>
      </c>
      <c r="C3" s="2088"/>
      <c r="D3" s="2088"/>
      <c r="E3" s="2088"/>
      <c r="F3" s="2088"/>
      <c r="G3" s="2088"/>
      <c r="H3" s="2088"/>
      <c r="I3" s="2088"/>
      <c r="J3" s="2088"/>
      <c r="K3" s="2088"/>
    </row>
    <row r="4" spans="1:41" s="2025" customFormat="1" ht="18" customHeight="1">
      <c r="A4" s="426" t="s">
        <v>459</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460</v>
      </c>
      <c r="D5" s="2088"/>
      <c r="E5" s="2088"/>
      <c r="F5" s="2088"/>
      <c r="G5" s="2088"/>
      <c r="H5" s="2088"/>
      <c r="I5" s="2088"/>
      <c r="J5" s="2088"/>
      <c r="K5" s="2088"/>
    </row>
    <row r="6" spans="1:41" s="2095" customFormat="1" ht="16.5" customHeight="1">
      <c r="A6" s="432" t="s">
        <v>2637</v>
      </c>
      <c r="B6" s="433"/>
      <c r="C6" s="1607">
        <f>SUM(C10:K10)</f>
        <v>0</v>
      </c>
      <c r="D6" s="2093"/>
      <c r="E6" s="2093"/>
      <c r="F6" s="2093"/>
      <c r="G6" s="2093"/>
      <c r="H6" s="2093"/>
      <c r="I6" s="2093"/>
      <c r="J6" s="2093"/>
      <c r="K6" s="2094"/>
    </row>
    <row r="7" spans="1:41" s="2097" customFormat="1" ht="15">
      <c r="A7" s="434" t="s">
        <v>461</v>
      </c>
      <c r="B7" s="435" t="s">
        <v>462</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1834</v>
      </c>
      <c r="B8" s="438" t="s">
        <v>463</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1835</v>
      </c>
      <c r="B9" s="438" t="s">
        <v>464</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1836</v>
      </c>
      <c r="B10" s="1608" t="s">
        <v>465</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1853</v>
      </c>
      <c r="B11" s="1605"/>
      <c r="C11" s="1605"/>
      <c r="D11" s="1605"/>
      <c r="E11" s="1605"/>
      <c r="F11" s="1605"/>
      <c r="G11" s="1605"/>
      <c r="H11" s="1605"/>
      <c r="I11" s="1605"/>
      <c r="J11" s="1605"/>
      <c r="K11" s="1606"/>
    </row>
    <row r="12" spans="1:41" s="2069" customFormat="1" ht="13.5" customHeight="1">
      <c r="A12" s="434" t="s">
        <v>461</v>
      </c>
      <c r="B12" s="444" t="s">
        <v>462</v>
      </c>
      <c r="C12" s="445" t="s">
        <v>466</v>
      </c>
      <c r="D12" s="446" t="s">
        <v>467</v>
      </c>
      <c r="E12" s="446" t="s">
        <v>468</v>
      </c>
      <c r="F12" s="446" t="s">
        <v>469</v>
      </c>
      <c r="G12" s="444"/>
      <c r="H12" s="447"/>
      <c r="I12" s="447"/>
      <c r="J12" s="447"/>
      <c r="K12" s="448"/>
    </row>
    <row r="13" spans="1:41" s="2100" customFormat="1" ht="13.5" customHeight="1">
      <c r="A13" s="1617" t="s">
        <v>1837</v>
      </c>
      <c r="B13" s="449" t="s">
        <v>470</v>
      </c>
      <c r="C13" s="450">
        <f ca="1">IF(B1="",'数据-取费表'!M16,INDIRECT("'数据-取费表'!M"&amp;$K$1)+INDIRECT("'数据-取费表'!t"&amp;$K$1))</f>
        <v>62867</v>
      </c>
      <c r="D13" s="451"/>
      <c r="E13" s="365"/>
      <c r="F13" s="452"/>
      <c r="G13" s="444"/>
      <c r="H13" s="447"/>
      <c r="I13" s="447"/>
      <c r="J13" s="447"/>
      <c r="K13" s="448"/>
    </row>
    <row r="14" spans="1:41" s="2100" customFormat="1" ht="13.5" customHeight="1">
      <c r="A14" s="1617" t="s">
        <v>1838</v>
      </c>
      <c r="B14" s="449" t="s">
        <v>471</v>
      </c>
      <c r="C14" s="53">
        <f ca="1">ROUND(C13*F14,0)</f>
        <v>1886</v>
      </c>
      <c r="D14" s="451"/>
      <c r="E14" s="365"/>
      <c r="F14" s="453">
        <f>'数据-取费表'!B33</f>
        <v>0.03</v>
      </c>
      <c r="G14" s="444" t="s">
        <v>493</v>
      </c>
      <c r="H14" s="447"/>
      <c r="I14" s="447"/>
      <c r="J14" s="447"/>
      <c r="K14" s="448"/>
    </row>
    <row r="15" spans="1:41" s="2100" customFormat="1" ht="13.5" customHeight="1">
      <c r="A15" s="1617" t="s">
        <v>1839</v>
      </c>
      <c r="B15" s="449" t="s">
        <v>473</v>
      </c>
      <c r="C15" s="53">
        <f ca="1">ROUND(IF(B1="",SUMIF('数据-取费表'!C:C,"住宅",'数据-取费表'!M:M)*F15,IF(INDIRECT("'数据-取费表'!c"&amp;$K$1)="住宅",INDIRECT("'数据-取费表'!M"&amp;$K$1)*F15,0)),0)</f>
        <v>0</v>
      </c>
      <c r="D15" s="451"/>
      <c r="E15" s="365"/>
      <c r="F15" s="453">
        <f>'数据-取费表'!B34</f>
        <v>0</v>
      </c>
      <c r="G15" s="444" t="s">
        <v>493</v>
      </c>
      <c r="H15" s="447"/>
      <c r="I15" s="447"/>
      <c r="J15" s="447"/>
      <c r="K15" s="448"/>
    </row>
    <row r="16" spans="1:41" s="2101" customFormat="1" ht="13.5" customHeight="1">
      <c r="A16" s="1617" t="s">
        <v>1840</v>
      </c>
      <c r="B16" s="449" t="s">
        <v>475</v>
      </c>
      <c r="C16" s="53">
        <f ca="1">ROUND(D16*E16/10000,0)</f>
        <v>4918</v>
      </c>
      <c r="D16" s="451">
        <f ca="1">IF(B1="",'数据-汇总表'!E3,INDIRECT("'数据-取费表'!K"&amp;$K$1)+INDIRECT("'数据-取费表'!S"&amp;$K$1))</f>
        <v>245924.74</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1841</v>
      </c>
      <c r="B17" s="449" t="s">
        <v>476</v>
      </c>
      <c r="C17" s="454">
        <f ca="1">ROUND(C13*F17,0)</f>
        <v>943</v>
      </c>
      <c r="D17" s="455"/>
      <c r="E17" s="454"/>
      <c r="F17" s="456">
        <f>'数据-取费表'!B36</f>
        <v>1.4999999999999999E-2</v>
      </c>
      <c r="G17" s="444" t="s">
        <v>493</v>
      </c>
      <c r="H17" s="457"/>
      <c r="I17" s="457"/>
      <c r="J17" s="457"/>
      <c r="K17" s="458"/>
    </row>
    <row r="18" spans="1:14" s="2103" customFormat="1" ht="13.5" customHeight="1">
      <c r="A18" s="1618" t="s">
        <v>1842</v>
      </c>
      <c r="B18" s="459" t="s">
        <v>478</v>
      </c>
      <c r="C18" s="460">
        <f ca="1">SUM(C13:C17)</f>
        <v>70614</v>
      </c>
      <c r="D18" s="461"/>
      <c r="E18" s="462"/>
      <c r="F18" s="462"/>
      <c r="G18" s="1322" t="s">
        <v>2418</v>
      </c>
      <c r="H18" s="447"/>
      <c r="I18" s="447"/>
      <c r="J18" s="447"/>
      <c r="K18" s="448"/>
    </row>
    <row r="19" spans="1:14" s="2103" customFormat="1" ht="13.5" customHeight="1">
      <c r="A19" s="1618" t="s">
        <v>1843</v>
      </c>
      <c r="B19" s="459" t="s">
        <v>484</v>
      </c>
      <c r="C19" s="460">
        <f ca="1">ROUND(C18*F19,0)</f>
        <v>1412</v>
      </c>
      <c r="D19" s="462"/>
      <c r="E19" s="462"/>
      <c r="F19" s="466">
        <f>'数据-取费表'!B37</f>
        <v>0.02</v>
      </c>
      <c r="G19" s="444" t="s">
        <v>494</v>
      </c>
      <c r="H19" s="447"/>
      <c r="I19" s="447"/>
      <c r="J19" s="447"/>
      <c r="K19" s="448"/>
      <c r="L19" s="2105"/>
      <c r="M19" s="2105"/>
      <c r="N19" s="2105"/>
    </row>
    <row r="20" spans="1:14" s="2103" customFormat="1" ht="13.5" customHeight="1">
      <c r="A20" s="1618" t="s">
        <v>1844</v>
      </c>
      <c r="B20" s="459" t="s">
        <v>495</v>
      </c>
      <c r="C20" s="2981">
        <f>F20</f>
        <v>0.02</v>
      </c>
      <c r="D20" s="469" t="s">
        <v>496</v>
      </c>
      <c r="E20" s="469"/>
      <c r="F20" s="486">
        <f>'数据-取费表'!B38</f>
        <v>0.02</v>
      </c>
      <c r="G20" s="1322" t="s">
        <v>497</v>
      </c>
      <c r="H20" s="447"/>
      <c r="I20" s="447"/>
      <c r="J20" s="447"/>
      <c r="K20" s="448"/>
      <c r="L20" s="2105"/>
      <c r="M20" s="2105"/>
      <c r="N20" s="2105"/>
    </row>
    <row r="21" spans="1:14" s="2105" customFormat="1" ht="13.5" customHeight="1">
      <c r="A21" s="1618" t="s">
        <v>1847</v>
      </c>
      <c r="B21" s="461" t="s">
        <v>485</v>
      </c>
      <c r="C21" s="470">
        <f ca="1">C22</f>
        <v>3421</v>
      </c>
      <c r="D21" s="467">
        <f ca="1">C23</f>
        <v>1E-3</v>
      </c>
      <c r="E21" s="469" t="s">
        <v>498</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2440</v>
      </c>
    </row>
    <row r="22" spans="1:14" s="2104" customFormat="1" ht="13.5" customHeight="1">
      <c r="A22" s="1617" t="s">
        <v>1837</v>
      </c>
      <c r="B22" s="1323" t="s">
        <v>2421</v>
      </c>
      <c r="C22" s="487">
        <f ca="1">ROUND(IF('数据-取费表'!B22&lt;=1,(C18+C19)*F21*'数据-取费表'!B20/2,(C18+C19)*(POWER((1+F21),'数据-取费表'!B20/2)-1)),0)</f>
        <v>3421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1838</v>
      </c>
      <c r="B23" s="1323" t="s">
        <v>499</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1848</v>
      </c>
      <c r="B24" s="2983" t="s">
        <v>2817</v>
      </c>
      <c r="C24" s="478">
        <f ca="1">C25</f>
        <v>12244</v>
      </c>
      <c r="D24" s="489">
        <f ca="1">C26</f>
        <v>3.3999999999999998E-3</v>
      </c>
      <c r="E24" s="469" t="s">
        <v>498</v>
      </c>
      <c r="F24" s="479">
        <f ca="1">IF(B1="",'数据-取费表'!Q16,INDIRECT("'数据-取费表'!q"&amp;$K$1))</f>
        <v>0.17</v>
      </c>
      <c r="G24" s="444"/>
      <c r="H24" s="447"/>
      <c r="I24" s="447"/>
      <c r="J24" s="447"/>
      <c r="K24" s="448"/>
    </row>
    <row r="25" spans="1:14" s="2104" customFormat="1" ht="13.5" customHeight="1">
      <c r="A25" s="1617" t="s">
        <v>1837</v>
      </c>
      <c r="B25" s="1323" t="s">
        <v>2422</v>
      </c>
      <c r="C25" s="490">
        <f ca="1">ROUND((C18+C19)*F24,0)</f>
        <v>12244</v>
      </c>
      <c r="D25" s="472"/>
      <c r="E25" s="473"/>
      <c r="F25" s="480"/>
      <c r="G25" s="1321" t="s">
        <v>2419</v>
      </c>
      <c r="H25" s="457"/>
      <c r="I25" s="457"/>
      <c r="J25" s="457"/>
      <c r="K25" s="458"/>
    </row>
    <row r="26" spans="1:14" s="2104" customFormat="1" ht="13.5" customHeight="1">
      <c r="A26" s="1617" t="s">
        <v>1838</v>
      </c>
      <c r="B26" s="1323" t="s">
        <v>500</v>
      </c>
      <c r="C26" s="491">
        <f ca="1">ROUND(F20*F24,4)</f>
        <v>3.3999999999999998E-3</v>
      </c>
      <c r="D26" s="472"/>
      <c r="E26" s="481"/>
      <c r="F26" s="480"/>
      <c r="G26" s="1321" t="s">
        <v>501</v>
      </c>
      <c r="H26" s="457"/>
      <c r="I26" s="457"/>
      <c r="J26" s="457"/>
      <c r="K26" s="458"/>
    </row>
    <row r="27" spans="1:14" s="2104" customFormat="1" ht="13.5" customHeight="1">
      <c r="A27" s="1621" t="s">
        <v>1856</v>
      </c>
      <c r="B27" s="459" t="s">
        <v>502</v>
      </c>
      <c r="C27" s="2982">
        <f>ROUND(F27/(1+'数据-取费表'!C42),4)</f>
        <v>5.33E-2</v>
      </c>
      <c r="D27" s="462" t="s">
        <v>2815</v>
      </c>
      <c r="E27" s="462"/>
      <c r="F27" s="466">
        <f>'数据-取费表'!B41</f>
        <v>5.6000000000000001E-2</v>
      </c>
      <c r="G27" s="1944" t="s">
        <v>2277</v>
      </c>
      <c r="H27" s="447"/>
      <c r="I27" s="447"/>
      <c r="J27" s="447"/>
      <c r="K27" s="448"/>
    </row>
    <row r="28" spans="1:14" s="2105" customFormat="1" ht="13.5" customHeight="1">
      <c r="A28" s="1621" t="s">
        <v>1857</v>
      </c>
      <c r="B28" s="476" t="s">
        <v>503</v>
      </c>
      <c r="C28" s="470">
        <f ca="1">ROUND((C18+C19+C21+C24)/(1-C20-D21-D24-C27),0)</f>
        <v>95079</v>
      </c>
      <c r="D28" s="477"/>
      <c r="E28" s="469"/>
      <c r="F28" s="471"/>
      <c r="G28" s="1322" t="s">
        <v>2420</v>
      </c>
      <c r="H28" s="447"/>
      <c r="I28" s="447"/>
      <c r="J28" s="447"/>
      <c r="K28" s="448"/>
    </row>
    <row r="29" spans="1:14" s="2105" customFormat="1" ht="13.5" customHeight="1">
      <c r="A29" s="1621" t="s">
        <v>1858</v>
      </c>
      <c r="B29" s="476" t="s">
        <v>504</v>
      </c>
      <c r="C29" s="492">
        <f ca="1">IF(B1="",'数据-取费表'!N16,INDIRECT("'数据-取费表'!N"&amp;$K$1))</f>
        <v>0</v>
      </c>
      <c r="D29" s="493"/>
      <c r="E29" s="494"/>
      <c r="F29" s="495"/>
      <c r="G29" s="444"/>
      <c r="H29" s="447"/>
      <c r="I29" s="447"/>
      <c r="J29" s="447"/>
      <c r="K29" s="448"/>
    </row>
    <row r="30" spans="1:14" s="2105" customFormat="1" ht="13.5" customHeight="1">
      <c r="A30" s="443">
        <v>2</v>
      </c>
      <c r="B30" s="476" t="s">
        <v>505</v>
      </c>
      <c r="C30" s="497">
        <f ca="1">ROUND(C28*C29,0)</f>
        <v>0</v>
      </c>
      <c r="D30" s="493"/>
      <c r="E30" s="498"/>
      <c r="F30" s="499"/>
      <c r="G30" s="1324" t="s">
        <v>506</v>
      </c>
      <c r="H30" s="496"/>
      <c r="I30" s="496"/>
      <c r="J30" s="447"/>
      <c r="K30" s="448"/>
    </row>
    <row r="31" spans="1:14" s="2110" customFormat="1" ht="13.5" customHeight="1">
      <c r="A31" s="2445" t="s">
        <v>1854</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1855</v>
      </c>
      <c r="B32" s="483"/>
      <c r="C32" s="484">
        <f ca="1">IF('数据-取费表'!B20&lt;=1,(C6-C30-C31)/(1+F21*'数据-取费表'!B20+F24)/(1+'数据-取费表'!B48+'数据-取费表'!B49),(C6-C30-C31)/(1+(POWER((1+F21),'数据-取费表'!B20)-1)+F24)/(1+'数据-取费表'!B48+'数据-取费表'!B49))</f>
        <v>0</v>
      </c>
      <c r="D32" s="483"/>
      <c r="E32" s="483"/>
      <c r="F32" s="483"/>
      <c r="G32" s="2446"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 zoomScale="80" zoomScaleNormal="95" zoomScaleSheetLayoutView="80" workbookViewId="0">
      <selection activeCell="I10" activeCellId="2" sqref="E10 G10 I1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7.2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507</v>
      </c>
      <c r="B1" s="503"/>
      <c r="C1" s="504" t="s">
        <v>508</v>
      </c>
      <c r="D1" s="505" t="s">
        <v>509</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458</v>
      </c>
      <c r="B2" s="508">
        <f>F68</f>
        <v>39948</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1673</v>
      </c>
      <c r="B3" s="510">
        <f>ROUND(B2*10000/'数据-汇总表'!E3,0)</f>
        <v>1624</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511</v>
      </c>
      <c r="B4" s="427">
        <f>IF(B48="单位面积地价",C50,ROUND(B2*10000/'数据-汇总表'!D3,0))</f>
        <v>4605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307</v>
      </c>
      <c r="C5" s="431" t="s">
        <v>460</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512</v>
      </c>
      <c r="B6" s="513"/>
      <c r="C6" s="3391" t="s">
        <v>513</v>
      </c>
      <c r="D6" s="3392"/>
      <c r="E6" s="3391" t="s">
        <v>514</v>
      </c>
      <c r="F6" s="3392"/>
      <c r="G6" s="3391" t="s">
        <v>515</v>
      </c>
      <c r="H6" s="3392"/>
      <c r="I6" s="3391" t="s">
        <v>516</v>
      </c>
      <c r="J6" s="3392"/>
      <c r="K6" s="514" t="s">
        <v>517</v>
      </c>
      <c r="L6" s="2117"/>
      <c r="M6" s="2116"/>
      <c r="N6" s="2116"/>
      <c r="O6" s="2118"/>
      <c r="P6" s="3393" t="s">
        <v>518</v>
      </c>
      <c r="Q6" s="3394"/>
      <c r="R6" s="3399" t="s">
        <v>514</v>
      </c>
      <c r="S6" s="3400"/>
      <c r="T6" s="3399" t="s">
        <v>515</v>
      </c>
      <c r="U6" s="3400"/>
      <c r="V6" s="3386" t="s">
        <v>516</v>
      </c>
      <c r="W6" s="3386"/>
      <c r="X6" s="1552"/>
      <c r="Y6" s="3399" t="s">
        <v>518</v>
      </c>
      <c r="Z6" s="3400"/>
      <c r="AA6" s="3388" t="s">
        <v>514</v>
      </c>
      <c r="AB6" s="3389" t="s">
        <v>515</v>
      </c>
      <c r="AC6" s="3388" t="s">
        <v>516</v>
      </c>
    </row>
    <row r="7" spans="1:30" ht="20.25">
      <c r="A7" s="515"/>
      <c r="B7" s="516"/>
      <c r="C7" s="3407" t="s">
        <v>2916</v>
      </c>
      <c r="D7" s="3408"/>
      <c r="E7" s="3407" t="str">
        <f>Sheet3!A7</f>
        <v>佛山市高明区西江新城苏河路以东、明湖北路以北</v>
      </c>
      <c r="F7" s="3408"/>
      <c r="G7" s="3407" t="str">
        <f>Sheet3!A8</f>
        <v>佛山市高明区西江新城苏河路以东、滨湖路以南</v>
      </c>
      <c r="H7" s="3408"/>
      <c r="I7" s="3407" t="str">
        <f>Sheet3!A9</f>
        <v>佛山市高明区西江新城荷富路以东、明湖北路以北</v>
      </c>
      <c r="J7" s="3408"/>
      <c r="K7" s="514"/>
      <c r="L7" s="2117"/>
      <c r="M7" s="2116"/>
      <c r="N7" s="2116"/>
      <c r="O7" s="2118"/>
      <c r="P7" s="3395"/>
      <c r="Q7" s="3396"/>
      <c r="R7" s="3401"/>
      <c r="S7" s="3402"/>
      <c r="T7" s="3401"/>
      <c r="U7" s="3402"/>
      <c r="V7" s="3386"/>
      <c r="W7" s="3386"/>
      <c r="X7" s="1552"/>
      <c r="Y7" s="3401"/>
      <c r="Z7" s="3402"/>
      <c r="AA7" s="3389"/>
      <c r="AB7" s="3389"/>
      <c r="AC7" s="3389"/>
    </row>
    <row r="8" spans="1:30" ht="21" thickBot="1">
      <c r="A8" s="515"/>
      <c r="B8" s="516"/>
      <c r="C8" s="3409" t="s">
        <v>2920</v>
      </c>
      <c r="D8" s="3410"/>
      <c r="E8" s="3409" t="s">
        <v>2920</v>
      </c>
      <c r="F8" s="3410"/>
      <c r="G8" s="3405" t="s">
        <v>2920</v>
      </c>
      <c r="H8" s="3406"/>
      <c r="I8" s="3405" t="s">
        <v>2920</v>
      </c>
      <c r="J8" s="3406"/>
      <c r="K8" s="514" t="s">
        <v>519</v>
      </c>
      <c r="L8" s="2117"/>
      <c r="M8" s="2116"/>
      <c r="N8" s="2116"/>
      <c r="O8" s="2118"/>
      <c r="P8" s="3397"/>
      <c r="Q8" s="3398"/>
      <c r="R8" s="3401"/>
      <c r="S8" s="3402"/>
      <c r="T8" s="3403"/>
      <c r="U8" s="3404"/>
      <c r="V8" s="3386"/>
      <c r="W8" s="3386"/>
      <c r="X8" s="1552"/>
      <c r="Y8" s="3403"/>
      <c r="Z8" s="3404"/>
      <c r="AA8" s="3390"/>
      <c r="AB8" s="3390"/>
      <c r="AC8" s="3390"/>
    </row>
    <row r="9" spans="1:30" s="1215" customFormat="1" ht="21" thickBot="1">
      <c r="A9" s="2866"/>
      <c r="B9" s="2873" t="s">
        <v>520</v>
      </c>
      <c r="C9" s="2865">
        <f>'数据-取费表'!B2</f>
        <v>43998</v>
      </c>
      <c r="D9" s="520">
        <v>100</v>
      </c>
      <c r="E9" s="521">
        <f>Sheet3!I7</f>
        <v>42809</v>
      </c>
      <c r="F9" s="522">
        <f>SUMIF(72:72,YEAR(E9)&amp;"-"&amp;INT((MONTH(E9)+2)/3),73:73)</f>
        <v>97.399999999999963</v>
      </c>
      <c r="G9" s="523">
        <f>Sheet3!I8</f>
        <v>42809</v>
      </c>
      <c r="H9" s="520">
        <f>SUMIF(72:72,YEAR(G9)&amp;"-"&amp;INT((MONTH(G9)+2)/3),73:73)</f>
        <v>97.399999999999963</v>
      </c>
      <c r="I9" s="523">
        <f>Sheet3!I9</f>
        <v>42751</v>
      </c>
      <c r="J9" s="520">
        <f>SUMIF(72:72,YEAR(I9)&amp;"-"&amp;INT((MONTH(I9)+2)/3),73:73)</f>
        <v>97.399999999999963</v>
      </c>
      <c r="K9" s="524"/>
      <c r="L9" s="2119"/>
      <c r="M9" s="2116"/>
      <c r="N9" s="2116"/>
      <c r="O9" s="2120"/>
      <c r="P9" s="3416" t="s">
        <v>521</v>
      </c>
      <c r="Q9" s="3418"/>
      <c r="R9" s="1553" t="s">
        <v>8</v>
      </c>
      <c r="S9" s="1554">
        <f t="shared" ref="S9:S17" si="0">F9</f>
        <v>97.399999999999963</v>
      </c>
      <c r="T9" s="1553" t="s">
        <v>8</v>
      </c>
      <c r="U9" s="1554">
        <f t="shared" ref="U9:U17" si="1">H9</f>
        <v>97.399999999999963</v>
      </c>
      <c r="V9" s="1553" t="s">
        <v>8</v>
      </c>
      <c r="W9" s="1554">
        <f t="shared" ref="W9:W17" si="2">J9</f>
        <v>97.399999999999963</v>
      </c>
      <c r="X9" s="1555"/>
      <c r="Y9" s="3416" t="s">
        <v>521</v>
      </c>
      <c r="Z9" s="3417"/>
      <c r="AA9" s="1556">
        <f>D9/F9</f>
        <v>1.0266940451745383</v>
      </c>
      <c r="AB9" s="1556">
        <f>D9/H9</f>
        <v>1.0266940451745383</v>
      </c>
      <c r="AC9" s="1556">
        <f>D9/J9</f>
        <v>1.0266940451745383</v>
      </c>
    </row>
    <row r="10" spans="1:30" s="1215" customFormat="1" ht="21" thickBot="1">
      <c r="A10" s="2867"/>
      <c r="B10" s="2874" t="s">
        <v>522</v>
      </c>
      <c r="C10" s="856" t="s">
        <v>523</v>
      </c>
      <c r="D10" s="520">
        <v>100</v>
      </c>
      <c r="E10" s="856" t="s">
        <v>523</v>
      </c>
      <c r="F10" s="522">
        <f>SUMIF(75:75,E10,76:76)-SUMIF(75:75,C10,76:76)+100</f>
        <v>100</v>
      </c>
      <c r="G10" s="856" t="s">
        <v>523</v>
      </c>
      <c r="H10" s="520">
        <f>SUMIF(75:75,G10,76:76)-SUMIF(75:75,C10,76:76)+100</f>
        <v>100</v>
      </c>
      <c r="I10" s="856" t="s">
        <v>523</v>
      </c>
      <c r="J10" s="520">
        <f>SUMIF(75:75,I10,76:76)-SUMIF(75:75,C10,76:76)+100</f>
        <v>100</v>
      </c>
      <c r="K10" s="524"/>
      <c r="L10" s="2119"/>
      <c r="M10" s="2116"/>
      <c r="N10" s="2116"/>
      <c r="O10" s="2120"/>
      <c r="P10" s="3416" t="s">
        <v>524</v>
      </c>
      <c r="Q10" s="3417"/>
      <c r="R10" s="1553" t="s">
        <v>8</v>
      </c>
      <c r="S10" s="1554">
        <f t="shared" si="0"/>
        <v>100</v>
      </c>
      <c r="T10" s="1553" t="s">
        <v>8</v>
      </c>
      <c r="U10" s="1554">
        <f t="shared" si="1"/>
        <v>100</v>
      </c>
      <c r="V10" s="1553" t="s">
        <v>8</v>
      </c>
      <c r="W10" s="1554">
        <f t="shared" si="2"/>
        <v>100</v>
      </c>
      <c r="X10" s="1555"/>
      <c r="Y10" s="3416" t="s">
        <v>524</v>
      </c>
      <c r="Z10" s="3417"/>
      <c r="AA10" s="1556">
        <f t="shared" ref="AA10:AA47" si="3">D10/F10</f>
        <v>1</v>
      </c>
      <c r="AB10" s="1556">
        <f t="shared" ref="AB10:AB47" si="4">D10/H10</f>
        <v>1</v>
      </c>
      <c r="AC10" s="1556">
        <f t="shared" ref="AC10:AC47" si="5">D10/J10</f>
        <v>1</v>
      </c>
    </row>
    <row r="11" spans="1:30" s="1215" customFormat="1" ht="20.25">
      <c r="A11" s="2868"/>
      <c r="B11" s="2875" t="s">
        <v>2741</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385" t="s">
        <v>526</v>
      </c>
      <c r="Q11" s="1146" t="str">
        <f t="shared" ref="Q11:Q17" si="6">B11</f>
        <v>用途</v>
      </c>
      <c r="R11" s="1553" t="s">
        <v>8</v>
      </c>
      <c r="S11" s="1554">
        <f t="shared" si="0"/>
        <v>100</v>
      </c>
      <c r="T11" s="1553" t="s">
        <v>8</v>
      </c>
      <c r="U11" s="1554">
        <f t="shared" si="1"/>
        <v>100</v>
      </c>
      <c r="V11" s="1553" t="s">
        <v>8</v>
      </c>
      <c r="W11" s="1554">
        <f t="shared" si="2"/>
        <v>100</v>
      </c>
      <c r="X11" s="1555"/>
      <c r="Y11" s="3334" t="s">
        <v>527</v>
      </c>
      <c r="Z11" s="1145" t="str">
        <f t="shared" ref="Z11:Z17" si="7">Q11</f>
        <v>用途</v>
      </c>
      <c r="AA11" s="1556">
        <f t="shared" si="3"/>
        <v>1</v>
      </c>
      <c r="AB11" s="1556">
        <f t="shared" si="4"/>
        <v>1</v>
      </c>
      <c r="AC11" s="1556">
        <f t="shared" si="5"/>
        <v>1</v>
      </c>
    </row>
    <row r="12" spans="1:30" s="1333" customFormat="1" ht="27">
      <c r="A12" s="2869"/>
      <c r="B12" s="2874" t="s">
        <v>2742</v>
      </c>
      <c r="C12" s="910"/>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85"/>
      <c r="Q12" s="1146" t="str">
        <f t="shared" si="6"/>
        <v>土地使用年限（年）</v>
      </c>
      <c r="R12" s="1553" t="s">
        <v>8</v>
      </c>
      <c r="S12" s="1554">
        <f t="shared" si="0"/>
        <v>101</v>
      </c>
      <c r="T12" s="1553" t="s">
        <v>8</v>
      </c>
      <c r="U12" s="1554">
        <f t="shared" si="1"/>
        <v>101</v>
      </c>
      <c r="V12" s="1553" t="s">
        <v>8</v>
      </c>
      <c r="W12" s="1554">
        <f t="shared" si="2"/>
        <v>101</v>
      </c>
      <c r="X12" s="1555"/>
      <c r="Y12" s="3334"/>
      <c r="Z12" s="1145" t="str">
        <f t="shared" si="7"/>
        <v>土地使用年限（年）</v>
      </c>
      <c r="AA12" s="1556">
        <f t="shared" si="3"/>
        <v>0.99009900990099009</v>
      </c>
      <c r="AB12" s="1556">
        <f t="shared" si="4"/>
        <v>0.99009900990099009</v>
      </c>
      <c r="AC12" s="1556">
        <f t="shared" si="5"/>
        <v>0.99009900990099009</v>
      </c>
    </row>
    <row r="13" spans="1:30" ht="20.25">
      <c r="A13" s="2870"/>
      <c r="B13" s="2874" t="s">
        <v>2743</v>
      </c>
      <c r="C13" s="534">
        <v>1.8</v>
      </c>
      <c r="D13" s="255">
        <v>100</v>
      </c>
      <c r="E13" s="533">
        <v>3</v>
      </c>
      <c r="F13" s="255">
        <f>LOOKUP(E13,82:82,83:83)-LOOKUP(C13,82:82,83:83)+100</f>
        <v>96</v>
      </c>
      <c r="G13" s="534">
        <v>3</v>
      </c>
      <c r="H13" s="255">
        <f>LOOKUP(G13,82:82,83:83)-LOOKUP(C13,82:82,83:83)+100</f>
        <v>96</v>
      </c>
      <c r="I13" s="533">
        <v>4</v>
      </c>
      <c r="J13" s="255">
        <f>LOOKUP(I13,82:82,83:83)-LOOKUP(C13,82:82,83:83)+100</f>
        <v>94</v>
      </c>
      <c r="K13" s="535">
        <v>2</v>
      </c>
      <c r="L13" s="2124"/>
      <c r="M13" s="2116"/>
      <c r="N13" s="2116"/>
      <c r="O13" s="2125"/>
      <c r="P13" s="3385"/>
      <c r="Q13" s="1146" t="str">
        <f t="shared" si="6"/>
        <v>容积率</v>
      </c>
      <c r="R13" s="1553" t="s">
        <v>8</v>
      </c>
      <c r="S13" s="1554">
        <f t="shared" si="0"/>
        <v>96</v>
      </c>
      <c r="T13" s="1553" t="s">
        <v>8</v>
      </c>
      <c r="U13" s="1554">
        <f t="shared" si="1"/>
        <v>96</v>
      </c>
      <c r="V13" s="1553" t="s">
        <v>8</v>
      </c>
      <c r="W13" s="1554">
        <f t="shared" si="2"/>
        <v>94</v>
      </c>
      <c r="X13" s="1555"/>
      <c r="Y13" s="3334"/>
      <c r="Z13" s="1145" t="str">
        <f t="shared" si="7"/>
        <v>容积率</v>
      </c>
      <c r="AA13" s="1556">
        <f t="shared" si="3"/>
        <v>1.0416666666666667</v>
      </c>
      <c r="AB13" s="1556">
        <f t="shared" si="4"/>
        <v>1.0416666666666667</v>
      </c>
      <c r="AC13" s="1556">
        <f t="shared" si="5"/>
        <v>1.0638297872340425</v>
      </c>
    </row>
    <row r="14" spans="1:30" s="1215" customFormat="1" ht="20.25">
      <c r="A14" s="2867"/>
      <c r="B14" s="2876" t="s">
        <v>2744</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5"/>
      <c r="Q14" s="1146" t="str">
        <f t="shared" si="6"/>
        <v>配建</v>
      </c>
      <c r="R14" s="1553" t="s">
        <v>8</v>
      </c>
      <c r="S14" s="1554">
        <f t="shared" si="0"/>
        <v>100</v>
      </c>
      <c r="T14" s="1553" t="s">
        <v>8</v>
      </c>
      <c r="U14" s="1554">
        <f t="shared" si="1"/>
        <v>100</v>
      </c>
      <c r="V14" s="1553" t="s">
        <v>8</v>
      </c>
      <c r="W14" s="1554">
        <f t="shared" si="2"/>
        <v>100</v>
      </c>
      <c r="X14" s="1555"/>
      <c r="Y14" s="3334"/>
      <c r="Z14" s="1145"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5"/>
      <c r="Q15" s="1146">
        <f t="shared" si="6"/>
        <v>111</v>
      </c>
      <c r="R15" s="1553" t="s">
        <v>8</v>
      </c>
      <c r="S15" s="1554">
        <f t="shared" si="0"/>
        <v>100</v>
      </c>
      <c r="T15" s="1553" t="s">
        <v>8</v>
      </c>
      <c r="U15" s="1554">
        <f t="shared" si="1"/>
        <v>100</v>
      </c>
      <c r="V15" s="1553" t="s">
        <v>8</v>
      </c>
      <c r="W15" s="1554">
        <f t="shared" si="2"/>
        <v>100</v>
      </c>
      <c r="X15" s="1555"/>
      <c r="Y15" s="3334"/>
      <c r="Z15" s="1145">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5"/>
      <c r="Q16" s="1146">
        <f t="shared" si="6"/>
        <v>111</v>
      </c>
      <c r="R16" s="1553" t="s">
        <v>8</v>
      </c>
      <c r="S16" s="1554">
        <f t="shared" si="0"/>
        <v>100</v>
      </c>
      <c r="T16" s="1553" t="s">
        <v>8</v>
      </c>
      <c r="U16" s="1554">
        <f t="shared" si="1"/>
        <v>100</v>
      </c>
      <c r="V16" s="1553" t="s">
        <v>8</v>
      </c>
      <c r="W16" s="1554">
        <f t="shared" si="2"/>
        <v>100</v>
      </c>
      <c r="X16" s="1555"/>
      <c r="Y16" s="3334"/>
      <c r="Z16" s="1145">
        <f t="shared" si="7"/>
        <v>111</v>
      </c>
      <c r="AA16" s="1556">
        <f>D16/F16</f>
        <v>1</v>
      </c>
      <c r="AB16" s="1556">
        <f>D16/H16</f>
        <v>1</v>
      </c>
      <c r="AC16" s="1556">
        <f>D16/J16</f>
        <v>1</v>
      </c>
    </row>
    <row r="17" spans="1:29" ht="99.75">
      <c r="A17" s="2864" t="s">
        <v>2739</v>
      </c>
      <c r="B17" s="578" t="s">
        <v>286</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19" t="s">
        <v>531</v>
      </c>
      <c r="Q17" s="1557" t="str">
        <f t="shared" si="6"/>
        <v>居住社区成熟度</v>
      </c>
      <c r="R17" s="1558" t="s">
        <v>8</v>
      </c>
      <c r="S17" s="1559">
        <f t="shared" si="0"/>
        <v>100</v>
      </c>
      <c r="T17" s="1558" t="s">
        <v>8</v>
      </c>
      <c r="U17" s="1559">
        <f t="shared" si="1"/>
        <v>100</v>
      </c>
      <c r="V17" s="1558" t="s">
        <v>8</v>
      </c>
      <c r="W17" s="1559">
        <f t="shared" si="2"/>
        <v>100</v>
      </c>
      <c r="X17" s="1552"/>
      <c r="Y17" s="3419" t="s">
        <v>531</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20"/>
      <c r="Q18" s="1557"/>
      <c r="R18" s="1558"/>
      <c r="S18" s="1559"/>
      <c r="T18" s="1558"/>
      <c r="U18" s="1559"/>
      <c r="V18" s="1558"/>
      <c r="W18" s="1559"/>
      <c r="X18" s="1552"/>
      <c r="Y18" s="3420"/>
      <c r="Z18" s="1560"/>
      <c r="AA18" s="1561">
        <v>1</v>
      </c>
      <c r="AB18" s="1561">
        <v>1</v>
      </c>
      <c r="AC18" s="1561">
        <v>1</v>
      </c>
    </row>
    <row r="19" spans="1:29" ht="71.25">
      <c r="A19" s="532"/>
      <c r="B19" s="560" t="s">
        <v>532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20"/>
      <c r="Q19" s="1557" t="str">
        <f>B19</f>
        <v>商业繁华度</v>
      </c>
      <c r="R19" s="1558" t="s">
        <v>8</v>
      </c>
      <c r="S19" s="1559">
        <f>F19</f>
        <v>100</v>
      </c>
      <c r="T19" s="1558" t="s">
        <v>8</v>
      </c>
      <c r="U19" s="1559">
        <f>H19</f>
        <v>100</v>
      </c>
      <c r="V19" s="1558" t="s">
        <v>8</v>
      </c>
      <c r="W19" s="1559">
        <f>J19</f>
        <v>100</v>
      </c>
      <c r="X19" s="1552"/>
      <c r="Y19" s="3420"/>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20"/>
      <c r="Q20" s="1557"/>
      <c r="R20" s="1558"/>
      <c r="S20" s="1559"/>
      <c r="T20" s="1558"/>
      <c r="U20" s="1559"/>
      <c r="V20" s="1558"/>
      <c r="W20" s="1559"/>
      <c r="X20" s="1552"/>
      <c r="Y20" s="3420"/>
      <c r="Z20" s="1560"/>
      <c r="AA20" s="1561">
        <v>1</v>
      </c>
      <c r="AB20" s="1561">
        <v>1</v>
      </c>
      <c r="AC20" s="1561">
        <v>1</v>
      </c>
    </row>
    <row r="21" spans="1:29" ht="71.25">
      <c r="A21" s="532"/>
      <c r="B21" s="560" t="s">
        <v>533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20"/>
      <c r="Q21" s="1557" t="str">
        <f>B21</f>
        <v>办公集聚程度</v>
      </c>
      <c r="R21" s="1558" t="s">
        <v>8</v>
      </c>
      <c r="S21" s="1559">
        <f>F21</f>
        <v>100</v>
      </c>
      <c r="T21" s="1558" t="s">
        <v>8</v>
      </c>
      <c r="U21" s="1559">
        <f>H21</f>
        <v>100</v>
      </c>
      <c r="V21" s="1558" t="s">
        <v>8</v>
      </c>
      <c r="W21" s="1559">
        <f>J21</f>
        <v>100</v>
      </c>
      <c r="X21" s="1552"/>
      <c r="Y21" s="3420"/>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20"/>
      <c r="Q22" s="1557"/>
      <c r="R22" s="1558"/>
      <c r="S22" s="1559"/>
      <c r="T22" s="1558"/>
      <c r="U22" s="1559"/>
      <c r="V22" s="1558"/>
      <c r="W22" s="1559"/>
      <c r="X22" s="1552"/>
      <c r="Y22" s="3420"/>
      <c r="Z22" s="1560"/>
      <c r="AA22" s="1561">
        <v>1</v>
      </c>
      <c r="AB22" s="1561">
        <v>1</v>
      </c>
      <c r="AC22" s="1561">
        <v>1</v>
      </c>
    </row>
    <row r="23" spans="1:29" ht="85.5">
      <c r="A23" s="532"/>
      <c r="B23" s="560" t="s">
        <v>534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20"/>
      <c r="Q23" s="1557" t="str">
        <f>B23</f>
        <v>交通便捷度</v>
      </c>
      <c r="R23" s="1558" t="s">
        <v>8</v>
      </c>
      <c r="S23" s="1559">
        <f>F23</f>
        <v>100</v>
      </c>
      <c r="T23" s="1558" t="s">
        <v>8</v>
      </c>
      <c r="U23" s="1559">
        <f>H23</f>
        <v>100</v>
      </c>
      <c r="V23" s="1558" t="s">
        <v>8</v>
      </c>
      <c r="W23" s="1559">
        <f>J23</f>
        <v>100</v>
      </c>
      <c r="X23" s="1552"/>
      <c r="Y23" s="3420"/>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20"/>
      <c r="Q24" s="1557"/>
      <c r="R24" s="1558"/>
      <c r="S24" s="1559"/>
      <c r="T24" s="1558"/>
      <c r="U24" s="1559"/>
      <c r="V24" s="1558"/>
      <c r="W24" s="1559"/>
      <c r="X24" s="1552"/>
      <c r="Y24" s="3420"/>
      <c r="Z24" s="1560"/>
      <c r="AA24" s="1561">
        <v>1</v>
      </c>
      <c r="AB24" s="1561">
        <v>1</v>
      </c>
      <c r="AC24" s="1561">
        <v>1</v>
      </c>
    </row>
    <row r="25" spans="1:29" ht="27">
      <c r="A25" s="515"/>
      <c r="B25" s="259" t="s">
        <v>535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20"/>
      <c r="Q25" s="1557" t="str">
        <f t="shared" ref="Q25:Q39" si="8">B25</f>
        <v>区域土地利用方向</v>
      </c>
      <c r="R25" s="1558" t="s">
        <v>8</v>
      </c>
      <c r="S25" s="1559">
        <f>F25</f>
        <v>100</v>
      </c>
      <c r="T25" s="1558" t="s">
        <v>8</v>
      </c>
      <c r="U25" s="1559">
        <f>H25</f>
        <v>100</v>
      </c>
      <c r="V25" s="1558" t="s">
        <v>8</v>
      </c>
      <c r="W25" s="1559">
        <f>J25</f>
        <v>100</v>
      </c>
      <c r="X25" s="1552"/>
      <c r="Y25" s="3420"/>
      <c r="Z25" s="1560" t="str">
        <f>Q25</f>
        <v>区域土地利用方向</v>
      </c>
      <c r="AA25" s="1561">
        <f t="shared" si="3"/>
        <v>1</v>
      </c>
      <c r="AB25" s="1561">
        <f t="shared" si="4"/>
        <v>1</v>
      </c>
      <c r="AC25" s="1561">
        <f t="shared" si="5"/>
        <v>1</v>
      </c>
    </row>
    <row r="26" spans="1:29" ht="20.25">
      <c r="A26" s="515"/>
      <c r="B26" s="1006"/>
      <c r="C26" s="554"/>
      <c r="D26" s="557"/>
      <c r="E26" s="558"/>
      <c r="F26" s="555"/>
      <c r="G26" s="556"/>
      <c r="H26" s="555"/>
      <c r="I26" s="558"/>
      <c r="J26" s="555"/>
      <c r="K26" s="531"/>
      <c r="L26" s="2126"/>
      <c r="M26" s="2116"/>
      <c r="N26" s="2116"/>
      <c r="O26" s="2125"/>
      <c r="P26" s="3420"/>
      <c r="Q26" s="1557"/>
      <c r="R26" s="1558"/>
      <c r="S26" s="1559"/>
      <c r="T26" s="1558"/>
      <c r="U26" s="1559"/>
      <c r="V26" s="1558"/>
      <c r="W26" s="1559"/>
      <c r="X26" s="1552"/>
      <c r="Y26" s="3420"/>
      <c r="Z26" s="1560"/>
      <c r="AA26" s="1561"/>
      <c r="AB26" s="1561"/>
      <c r="AC26" s="1561"/>
    </row>
    <row r="27" spans="1:29" ht="57">
      <c r="A27" s="515"/>
      <c r="B27" s="578" t="s">
        <v>536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20"/>
      <c r="Q27" s="1557" t="str">
        <f t="shared" si="8"/>
        <v>自然及人文环境状况</v>
      </c>
      <c r="R27" s="1558" t="s">
        <v>8</v>
      </c>
      <c r="S27" s="1559">
        <f>F27</f>
        <v>100</v>
      </c>
      <c r="T27" s="1558" t="s">
        <v>8</v>
      </c>
      <c r="U27" s="1559">
        <f>H27</f>
        <v>100</v>
      </c>
      <c r="V27" s="1558" t="s">
        <v>8</v>
      </c>
      <c r="W27" s="1559">
        <f>J27</f>
        <v>100</v>
      </c>
      <c r="X27" s="1552"/>
      <c r="Y27" s="3420"/>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20"/>
      <c r="Q28" s="1557"/>
      <c r="R28" s="1558"/>
      <c r="S28" s="1559"/>
      <c r="T28" s="1558"/>
      <c r="U28" s="1559"/>
      <c r="V28" s="1558"/>
      <c r="W28" s="1559"/>
      <c r="X28" s="1552"/>
      <c r="Y28" s="3420"/>
      <c r="Z28" s="1560"/>
      <c r="AA28" s="1561">
        <v>1</v>
      </c>
      <c r="AB28" s="1561">
        <v>1</v>
      </c>
      <c r="AC28" s="1561">
        <v>1</v>
      </c>
    </row>
    <row r="29" spans="1:29" s="1215" customFormat="1" ht="42.75">
      <c r="A29" s="577"/>
      <c r="B29" s="2554" t="s">
        <v>2534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20"/>
      <c r="Q29" s="1146" t="str">
        <f t="shared" si="8"/>
        <v>公共配套设施</v>
      </c>
      <c r="R29" s="1553" t="s">
        <v>8</v>
      </c>
      <c r="S29" s="1554">
        <f>F29</f>
        <v>100</v>
      </c>
      <c r="T29" s="1553" t="s">
        <v>8</v>
      </c>
      <c r="U29" s="1554">
        <f>H29</f>
        <v>100</v>
      </c>
      <c r="V29" s="1553" t="s">
        <v>8</v>
      </c>
      <c r="W29" s="1554">
        <f>J29</f>
        <v>100</v>
      </c>
      <c r="X29" s="1555"/>
      <c r="Y29" s="3420"/>
      <c r="Z29" s="1145" t="str">
        <f>Q29</f>
        <v>公共配套设施</v>
      </c>
      <c r="AA29" s="1561">
        <f>D29/F29</f>
        <v>1</v>
      </c>
      <c r="AB29" s="1561">
        <f>D29/H29</f>
        <v>1</v>
      </c>
      <c r="AC29" s="1561">
        <f>D29/J29</f>
        <v>1</v>
      </c>
    </row>
    <row r="30" spans="1:29" s="1215" customFormat="1" ht="20.25">
      <c r="A30" s="577"/>
      <c r="B30" s="566"/>
      <c r="C30" s="579"/>
      <c r="D30" s="557"/>
      <c r="E30" s="576"/>
      <c r="F30" s="555"/>
      <c r="G30" s="554"/>
      <c r="H30" s="555"/>
      <c r="I30" s="576"/>
      <c r="J30" s="555"/>
      <c r="K30" s="531"/>
      <c r="L30" s="2119"/>
      <c r="M30" s="2116"/>
      <c r="N30" s="2116"/>
      <c r="O30" s="2121"/>
      <c r="P30" s="3420"/>
      <c r="Q30" s="1146"/>
      <c r="R30" s="1553"/>
      <c r="S30" s="1554"/>
      <c r="T30" s="1553"/>
      <c r="U30" s="1554"/>
      <c r="V30" s="1553"/>
      <c r="W30" s="1554"/>
      <c r="X30" s="1555"/>
      <c r="Y30" s="3420"/>
      <c r="Z30" s="1145"/>
      <c r="AA30" s="1561">
        <v>1</v>
      </c>
      <c r="AB30" s="1561">
        <v>1</v>
      </c>
      <c r="AC30" s="1561">
        <v>1</v>
      </c>
    </row>
    <row r="31" spans="1:29" s="1215" customFormat="1" ht="28.5">
      <c r="A31" s="577"/>
      <c r="B31" s="2554" t="s">
        <v>2535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20"/>
      <c r="Q31" s="2541" t="str">
        <f t="shared" ref="Q31" si="9">B31</f>
        <v>基础设施水平</v>
      </c>
      <c r="R31" s="1553" t="s">
        <v>8</v>
      </c>
      <c r="S31" s="1554">
        <f>F31</f>
        <v>100</v>
      </c>
      <c r="T31" s="1553" t="s">
        <v>8</v>
      </c>
      <c r="U31" s="1554">
        <f>H31</f>
        <v>100</v>
      </c>
      <c r="V31" s="1553" t="s">
        <v>8</v>
      </c>
      <c r="W31" s="1554">
        <f>J31</f>
        <v>100</v>
      </c>
      <c r="X31" s="1555"/>
      <c r="Y31" s="3420"/>
      <c r="Z31" s="2538" t="str">
        <f>Q31</f>
        <v>基础设施水平</v>
      </c>
      <c r="AA31" s="1561">
        <f>D31/F31</f>
        <v>1</v>
      </c>
      <c r="AB31" s="1561">
        <f>D31/H31</f>
        <v>1</v>
      </c>
      <c r="AC31" s="1561">
        <f>D31/J31</f>
        <v>1</v>
      </c>
    </row>
    <row r="32" spans="1:29" s="1215" customFormat="1" ht="20.25">
      <c r="A32" s="577"/>
      <c r="B32" s="566"/>
      <c r="C32" s="579"/>
      <c r="D32" s="557"/>
      <c r="E32" s="2555"/>
      <c r="F32" s="555"/>
      <c r="G32" s="579"/>
      <c r="H32" s="555"/>
      <c r="I32" s="579"/>
      <c r="J32" s="555"/>
      <c r="K32" s="531"/>
      <c r="L32" s="2119"/>
      <c r="M32" s="2116"/>
      <c r="N32" s="2116"/>
      <c r="O32" s="2121"/>
      <c r="P32" s="3420"/>
      <c r="Q32" s="2541"/>
      <c r="R32" s="1553"/>
      <c r="S32" s="1554"/>
      <c r="T32" s="1553"/>
      <c r="U32" s="1554"/>
      <c r="V32" s="1553"/>
      <c r="W32" s="1554"/>
      <c r="X32" s="1555"/>
      <c r="Y32" s="3420"/>
      <c r="Z32" s="2538"/>
      <c r="AA32" s="1561">
        <v>1</v>
      </c>
      <c r="AB32" s="1561">
        <v>1</v>
      </c>
      <c r="AC32" s="1561">
        <v>1</v>
      </c>
    </row>
    <row r="33" spans="1:29" ht="20.25">
      <c r="A33" s="532"/>
      <c r="B33" s="566" t="s">
        <v>538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2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0"/>
      <c r="Z33" s="1560" t="str">
        <f t="shared" ref="Z33:Z47" si="13">Q33</f>
        <v>临街状况</v>
      </c>
      <c r="AA33" s="1561">
        <f t="shared" si="3"/>
        <v>1</v>
      </c>
      <c r="AB33" s="1561">
        <f t="shared" si="4"/>
        <v>1</v>
      </c>
      <c r="AC33" s="1561">
        <f t="shared" si="5"/>
        <v>1</v>
      </c>
    </row>
    <row r="34" spans="1:29" ht="27">
      <c r="A34" s="532"/>
      <c r="B34" s="578" t="s">
        <v>539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20"/>
      <c r="Q34" s="1557" t="str">
        <f t="shared" si="8"/>
        <v>毗邻道路的类型与等级</v>
      </c>
      <c r="R34" s="1558" t="s">
        <v>8</v>
      </c>
      <c r="S34" s="1559">
        <f t="shared" si="10"/>
        <v>100</v>
      </c>
      <c r="T34" s="1558" t="s">
        <v>8</v>
      </c>
      <c r="U34" s="1559">
        <f t="shared" si="11"/>
        <v>100</v>
      </c>
      <c r="V34" s="1558" t="s">
        <v>8</v>
      </c>
      <c r="W34" s="1559">
        <f t="shared" si="12"/>
        <v>100</v>
      </c>
      <c r="X34" s="1552"/>
      <c r="Y34" s="3420"/>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20"/>
      <c r="Q35" s="1557"/>
      <c r="R35" s="1558"/>
      <c r="S35" s="1559"/>
      <c r="T35" s="1558"/>
      <c r="U35" s="1559"/>
      <c r="V35" s="1558"/>
      <c r="W35" s="1559"/>
      <c r="X35" s="1552"/>
      <c r="Y35" s="3420"/>
      <c r="Z35" s="1560"/>
      <c r="AA35" s="1561">
        <v>1</v>
      </c>
      <c r="AB35" s="1561">
        <v>1</v>
      </c>
      <c r="AC35" s="1561">
        <v>1</v>
      </c>
    </row>
    <row r="36" spans="1:29" ht="20.25">
      <c r="A36" s="532"/>
      <c r="B36" s="582" t="s">
        <v>540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20"/>
      <c r="Q36" s="1557" t="str">
        <f t="shared" si="8"/>
        <v>土地级别</v>
      </c>
      <c r="R36" s="1558" t="s">
        <v>8</v>
      </c>
      <c r="S36" s="1559">
        <f t="shared" si="10"/>
        <v>100</v>
      </c>
      <c r="T36" s="1558" t="s">
        <v>8</v>
      </c>
      <c r="U36" s="1559">
        <f t="shared" si="11"/>
        <v>100</v>
      </c>
      <c r="V36" s="1558" t="s">
        <v>8</v>
      </c>
      <c r="W36" s="1559">
        <f t="shared" si="12"/>
        <v>100</v>
      </c>
      <c r="X36" s="1552"/>
      <c r="Y36" s="3420"/>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20"/>
      <c r="Q37" s="1557">
        <f t="shared" si="8"/>
        <v>111</v>
      </c>
      <c r="R37" s="1558" t="s">
        <v>8</v>
      </c>
      <c r="S37" s="1559">
        <f t="shared" si="10"/>
        <v>100</v>
      </c>
      <c r="T37" s="1558" t="s">
        <v>8</v>
      </c>
      <c r="U37" s="1559">
        <f t="shared" si="11"/>
        <v>100</v>
      </c>
      <c r="V37" s="1558" t="s">
        <v>8</v>
      </c>
      <c r="W37" s="1559">
        <f t="shared" si="12"/>
        <v>100</v>
      </c>
      <c r="X37" s="1552"/>
      <c r="Y37" s="3420"/>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1" t="s">
        <v>541</v>
      </c>
      <c r="Q38" s="1557">
        <f t="shared" si="8"/>
        <v>111</v>
      </c>
      <c r="R38" s="1558" t="s">
        <v>8</v>
      </c>
      <c r="S38" s="1559">
        <f t="shared" si="10"/>
        <v>100</v>
      </c>
      <c r="T38" s="1558" t="s">
        <v>8</v>
      </c>
      <c r="U38" s="1559">
        <f t="shared" si="11"/>
        <v>100</v>
      </c>
      <c r="V38" s="1558" t="s">
        <v>8</v>
      </c>
      <c r="W38" s="1559">
        <f t="shared" si="12"/>
        <v>100</v>
      </c>
      <c r="X38" s="1552"/>
      <c r="Y38" s="3422" t="s">
        <v>541</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2"/>
      <c r="Q39" s="1557">
        <f t="shared" si="8"/>
        <v>111</v>
      </c>
      <c r="R39" s="1562" t="s">
        <v>8</v>
      </c>
      <c r="S39" s="1563">
        <f t="shared" si="10"/>
        <v>100</v>
      </c>
      <c r="T39" s="1562" t="s">
        <v>8</v>
      </c>
      <c r="U39" s="1563">
        <f t="shared" si="11"/>
        <v>100</v>
      </c>
      <c r="V39" s="1562" t="s">
        <v>8</v>
      </c>
      <c r="W39" s="1563">
        <f t="shared" si="12"/>
        <v>100</v>
      </c>
      <c r="X39" s="1564"/>
      <c r="Y39" s="3422"/>
      <c r="Z39" s="1565">
        <f t="shared" si="13"/>
        <v>111</v>
      </c>
      <c r="AA39" s="1561">
        <f t="shared" si="3"/>
        <v>1</v>
      </c>
      <c r="AB39" s="1561">
        <f t="shared" si="4"/>
        <v>1</v>
      </c>
      <c r="AC39" s="1561">
        <f t="shared" si="5"/>
        <v>1</v>
      </c>
    </row>
    <row r="40" spans="1:29" ht="20.25">
      <c r="A40" s="2861" t="s">
        <v>2740</v>
      </c>
      <c r="B40" s="595" t="s">
        <v>543</v>
      </c>
      <c r="C40" s="596">
        <f>'数据-汇总表'!D3</f>
        <v>86744.76</v>
      </c>
      <c r="D40" s="597">
        <v>100</v>
      </c>
      <c r="E40" s="596">
        <f>Sheet3!D7</f>
        <v>10523.1</v>
      </c>
      <c r="F40" s="597">
        <f>LOOKUP(E40,119:119,120:120)-LOOKUP(C40,119:119,120:120)+100</f>
        <v>98</v>
      </c>
      <c r="G40" s="596">
        <f>Sheet3!D8</f>
        <v>30290.6</v>
      </c>
      <c r="H40" s="597">
        <f>LOOKUP(G40,119:119,120:120)-LOOKUP(C40,119:119,120:120)+100</f>
        <v>99</v>
      </c>
      <c r="I40" s="598">
        <f>Sheet3!D9</f>
        <v>21794.2</v>
      </c>
      <c r="J40" s="597">
        <f>LOOKUP(I40,119:119,120:120)-LOOKUP(C40,119:119,120:120)+100</f>
        <v>98</v>
      </c>
      <c r="K40" s="581"/>
      <c r="L40" s="2126"/>
      <c r="M40" s="2116"/>
      <c r="N40" s="2116"/>
      <c r="O40" s="2125"/>
      <c r="P40" s="3422"/>
      <c r="Q40" s="1557" t="str">
        <f>B40</f>
        <v>宗地面积</v>
      </c>
      <c r="R40" s="1558" t="s">
        <v>8</v>
      </c>
      <c r="S40" s="1559">
        <f t="shared" si="10"/>
        <v>98</v>
      </c>
      <c r="T40" s="1558" t="s">
        <v>8</v>
      </c>
      <c r="U40" s="1559">
        <f t="shared" si="11"/>
        <v>99</v>
      </c>
      <c r="V40" s="1558" t="s">
        <v>8</v>
      </c>
      <c r="W40" s="1559">
        <f t="shared" si="12"/>
        <v>98</v>
      </c>
      <c r="X40" s="1552"/>
      <c r="Y40" s="3422"/>
      <c r="Z40" s="1560" t="str">
        <f t="shared" si="13"/>
        <v>宗地面积</v>
      </c>
      <c r="AA40" s="1561">
        <f t="shared" si="3"/>
        <v>1.0204081632653061</v>
      </c>
      <c r="AB40" s="1561">
        <f t="shared" si="4"/>
        <v>1.0101010101010102</v>
      </c>
      <c r="AC40" s="1561">
        <f t="shared" si="5"/>
        <v>1.0204081632653061</v>
      </c>
    </row>
    <row r="41" spans="1:29" ht="20.25">
      <c r="A41" s="594"/>
      <c r="B41" s="527" t="s">
        <v>544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22"/>
      <c r="Q41" s="1557" t="str">
        <f t="shared" ref="Q41:Q47" si="14">B41</f>
        <v>宗地形状</v>
      </c>
      <c r="R41" s="1558" t="s">
        <v>8</v>
      </c>
      <c r="S41" s="1559">
        <f t="shared" si="10"/>
        <v>100</v>
      </c>
      <c r="T41" s="1558" t="s">
        <v>8</v>
      </c>
      <c r="U41" s="1559">
        <f t="shared" si="11"/>
        <v>100</v>
      </c>
      <c r="V41" s="1558" t="s">
        <v>8</v>
      </c>
      <c r="W41" s="1559">
        <f t="shared" si="12"/>
        <v>100</v>
      </c>
      <c r="X41" s="1552"/>
      <c r="Y41" s="3422"/>
      <c r="Z41" s="1560" t="str">
        <f t="shared" si="13"/>
        <v>宗地形状</v>
      </c>
      <c r="AA41" s="1561">
        <f t="shared" si="3"/>
        <v>1</v>
      </c>
      <c r="AB41" s="1561">
        <f t="shared" si="4"/>
        <v>1</v>
      </c>
      <c r="AC41" s="1561">
        <f t="shared" si="5"/>
        <v>1</v>
      </c>
    </row>
    <row r="42" spans="1:29" ht="20.25">
      <c r="A42" s="594"/>
      <c r="B42" s="527" t="s">
        <v>545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22"/>
      <c r="Q42" s="1557" t="str">
        <f t="shared" si="14"/>
        <v>临街宽度及深度</v>
      </c>
      <c r="R42" s="1558" t="s">
        <v>8</v>
      </c>
      <c r="S42" s="1559">
        <f t="shared" si="10"/>
        <v>100</v>
      </c>
      <c r="T42" s="1558" t="s">
        <v>8</v>
      </c>
      <c r="U42" s="1559">
        <f t="shared" si="11"/>
        <v>100</v>
      </c>
      <c r="V42" s="1558" t="s">
        <v>8</v>
      </c>
      <c r="W42" s="1559">
        <f t="shared" si="12"/>
        <v>100</v>
      </c>
      <c r="X42" s="1552"/>
      <c r="Y42" s="3422"/>
      <c r="Z42" s="1560" t="str">
        <f t="shared" si="13"/>
        <v>临街宽度及深度</v>
      </c>
      <c r="AA42" s="1561">
        <f t="shared" si="3"/>
        <v>1</v>
      </c>
      <c r="AB42" s="1561">
        <f t="shared" si="4"/>
        <v>1</v>
      </c>
      <c r="AC42" s="1561">
        <f t="shared" si="5"/>
        <v>1</v>
      </c>
    </row>
    <row r="43" spans="1:29" s="1215" customFormat="1" ht="20.25">
      <c r="A43" s="600"/>
      <c r="B43" s="1879" t="s">
        <v>2410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22"/>
      <c r="Q43" s="1557" t="str">
        <f t="shared" si="14"/>
        <v>宗地开发程度</v>
      </c>
      <c r="R43" s="1553" t="s">
        <v>8</v>
      </c>
      <c r="S43" s="1554">
        <f t="shared" si="10"/>
        <v>100</v>
      </c>
      <c r="T43" s="1553" t="s">
        <v>8</v>
      </c>
      <c r="U43" s="1554">
        <f t="shared" si="11"/>
        <v>100</v>
      </c>
      <c r="V43" s="1553" t="s">
        <v>8</v>
      </c>
      <c r="W43" s="1554">
        <f t="shared" si="12"/>
        <v>100</v>
      </c>
      <c r="X43" s="1555"/>
      <c r="Y43" s="3422"/>
      <c r="Z43" s="1145" t="str">
        <f t="shared" si="13"/>
        <v>宗地开发程度</v>
      </c>
      <c r="AA43" s="1556">
        <f t="shared" si="3"/>
        <v>1</v>
      </c>
      <c r="AB43" s="1556">
        <f t="shared" si="4"/>
        <v>1</v>
      </c>
      <c r="AC43" s="1556">
        <f t="shared" si="5"/>
        <v>1</v>
      </c>
    </row>
    <row r="44" spans="1:29" ht="20.25">
      <c r="A44" s="594"/>
      <c r="B44" s="527" t="s">
        <v>546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22" t="s">
        <v>541</v>
      </c>
      <c r="Q44" s="1557" t="str">
        <f t="shared" si="14"/>
        <v>工程地质条件</v>
      </c>
      <c r="R44" s="1558" t="s">
        <v>8</v>
      </c>
      <c r="S44" s="1559">
        <f t="shared" si="10"/>
        <v>100</v>
      </c>
      <c r="T44" s="1558" t="s">
        <v>8</v>
      </c>
      <c r="U44" s="1559">
        <f t="shared" si="11"/>
        <v>100</v>
      </c>
      <c r="V44" s="1558" t="s">
        <v>8</v>
      </c>
      <c r="W44" s="1559">
        <f t="shared" si="12"/>
        <v>100</v>
      </c>
      <c r="X44" s="1552"/>
      <c r="Y44" s="3422" t="s">
        <v>541</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2"/>
      <c r="Q45" s="1557">
        <f t="shared" si="14"/>
        <v>111</v>
      </c>
      <c r="R45" s="1558" t="s">
        <v>8</v>
      </c>
      <c r="S45" s="1559">
        <f t="shared" si="10"/>
        <v>100</v>
      </c>
      <c r="T45" s="1558" t="s">
        <v>8</v>
      </c>
      <c r="U45" s="1559">
        <f t="shared" si="11"/>
        <v>100</v>
      </c>
      <c r="V45" s="1558" t="s">
        <v>8</v>
      </c>
      <c r="W45" s="1559">
        <f t="shared" si="12"/>
        <v>100</v>
      </c>
      <c r="X45" s="1552"/>
      <c r="Y45" s="3422"/>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2"/>
      <c r="Q46" s="1557">
        <f t="shared" si="14"/>
        <v>111</v>
      </c>
      <c r="R46" s="1558" t="s">
        <v>8</v>
      </c>
      <c r="S46" s="1559">
        <f t="shared" si="10"/>
        <v>100</v>
      </c>
      <c r="T46" s="1558" t="s">
        <v>8</v>
      </c>
      <c r="U46" s="1559">
        <f t="shared" si="11"/>
        <v>100</v>
      </c>
      <c r="V46" s="1558" t="s">
        <v>8</v>
      </c>
      <c r="W46" s="1559">
        <f t="shared" si="12"/>
        <v>100</v>
      </c>
      <c r="X46" s="1552"/>
      <c r="Y46" s="3422"/>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2"/>
      <c r="Q47" s="1557">
        <f t="shared" si="14"/>
        <v>111</v>
      </c>
      <c r="R47" s="1562" t="s">
        <v>8</v>
      </c>
      <c r="S47" s="1563">
        <f t="shared" si="10"/>
        <v>100</v>
      </c>
      <c r="T47" s="1562" t="s">
        <v>8</v>
      </c>
      <c r="U47" s="1563">
        <f t="shared" si="11"/>
        <v>100</v>
      </c>
      <c r="V47" s="1562" t="s">
        <v>8</v>
      </c>
      <c r="W47" s="1563">
        <f t="shared" si="12"/>
        <v>100</v>
      </c>
      <c r="X47" s="1564"/>
      <c r="Y47" s="3422"/>
      <c r="Z47" s="1565">
        <f t="shared" si="13"/>
        <v>111</v>
      </c>
      <c r="AA47" s="1561">
        <f t="shared" si="3"/>
        <v>1</v>
      </c>
      <c r="AB47" s="1561">
        <f t="shared" si="4"/>
        <v>1</v>
      </c>
      <c r="AC47" s="1561">
        <f t="shared" si="5"/>
        <v>1</v>
      </c>
    </row>
    <row r="48" spans="1:29" ht="20.25">
      <c r="A48" s="607" t="s">
        <v>547</v>
      </c>
      <c r="B48" s="608" t="s">
        <v>3078</v>
      </c>
      <c r="C48" s="609" t="s">
        <v>1</v>
      </c>
      <c r="D48" s="610"/>
      <c r="E48" s="611">
        <f>Sheet3!K7</f>
        <v>2291.7800000000002</v>
      </c>
      <c r="F48" s="612"/>
      <c r="G48" s="613">
        <f>Sheet3!K8</f>
        <v>2222.9</v>
      </c>
      <c r="H48" s="614"/>
      <c r="I48" s="611">
        <f>Sheet3!K9</f>
        <v>2022.9</v>
      </c>
      <c r="J48" s="614"/>
      <c r="K48" s="1335"/>
      <c r="L48" s="2128"/>
      <c r="M48" s="2116"/>
      <c r="N48" s="2116"/>
      <c r="O48" s="2129"/>
      <c r="P48" s="3385" t="str">
        <f>A48</f>
        <v>成交单价</v>
      </c>
      <c r="Q48" s="3385"/>
      <c r="R48" s="3386">
        <f>E48</f>
        <v>2291.7800000000002</v>
      </c>
      <c r="S48" s="3386"/>
      <c r="T48" s="3386">
        <f>G48</f>
        <v>2222.9</v>
      </c>
      <c r="U48" s="3386"/>
      <c r="V48" s="3386">
        <f>I48</f>
        <v>2022.9</v>
      </c>
      <c r="W48" s="3386"/>
      <c r="X48" s="1544"/>
      <c r="Y48" s="1566"/>
      <c r="Z48" s="1544"/>
      <c r="AA48" s="1544"/>
      <c r="AB48" s="1544"/>
      <c r="AC48" s="1544"/>
    </row>
    <row r="49" spans="1:29" ht="21" thickBot="1">
      <c r="A49" s="615" t="s">
        <v>2678</v>
      </c>
      <c r="B49" s="616"/>
      <c r="C49" s="617">
        <f>R50</f>
        <v>2362</v>
      </c>
      <c r="D49" s="618"/>
      <c r="E49" s="617">
        <f>R49</f>
        <v>2476</v>
      </c>
      <c r="F49" s="619"/>
      <c r="G49" s="620">
        <f>T49</f>
        <v>2378</v>
      </c>
      <c r="H49" s="618"/>
      <c r="I49" s="617">
        <f>V49</f>
        <v>2232</v>
      </c>
      <c r="J49" s="618"/>
      <c r="K49" s="1336"/>
      <c r="L49" s="2128"/>
      <c r="M49" s="2116"/>
      <c r="N49" s="2116"/>
      <c r="O49" s="2129"/>
      <c r="P49" s="3385" t="str">
        <f>A49</f>
        <v>比较价格（元/平方米）</v>
      </c>
      <c r="Q49" s="3385"/>
      <c r="R49" s="3387">
        <f>ROUND(PRODUCT(R48,AA9:AA47),0)</f>
        <v>2476</v>
      </c>
      <c r="S49" s="3387"/>
      <c r="T49" s="3387">
        <f>ROUND(PRODUCT(T48,AB9:AB47),0)</f>
        <v>2378</v>
      </c>
      <c r="U49" s="3387"/>
      <c r="V49" s="3387">
        <f>ROUND(PRODUCT(V48,AC9:AC47),0)</f>
        <v>2232</v>
      </c>
      <c r="W49" s="3387"/>
      <c r="X49" s="1544"/>
      <c r="Y49" s="1544"/>
      <c r="Z49" s="1544"/>
      <c r="AA49" s="1544"/>
      <c r="AB49" s="1544"/>
      <c r="AC49" s="1544"/>
    </row>
    <row r="50" spans="1:29" ht="21" thickBot="1">
      <c r="A50" s="621" t="s">
        <v>2922</v>
      </c>
      <c r="B50" s="622"/>
      <c r="C50" s="623">
        <f>R50</f>
        <v>2362</v>
      </c>
      <c r="D50" s="623"/>
      <c r="E50" s="623"/>
      <c r="F50" s="623"/>
      <c r="G50" s="623"/>
      <c r="H50" s="623"/>
      <c r="I50" s="623"/>
      <c r="J50" s="623"/>
      <c r="K50" s="1337"/>
      <c r="L50" s="2128"/>
      <c r="M50" s="2116"/>
      <c r="N50" s="2116"/>
      <c r="O50" s="2129"/>
      <c r="P50" s="3382" t="str">
        <f>A50</f>
        <v>估价对象XX用房的比较价格（楼面单价，元/平方米）</v>
      </c>
      <c r="Q50" s="3383"/>
      <c r="R50" s="3384">
        <f>ROUND(AVERAGE(R49:V49),0)</f>
        <v>2362</v>
      </c>
      <c r="S50" s="3384"/>
      <c r="T50" s="3384"/>
      <c r="U50" s="3384"/>
      <c r="V50" s="3384"/>
      <c r="W50" s="338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548</v>
      </c>
      <c r="D53" s="625"/>
      <c r="E53" s="626">
        <f>IF(E48&lt;E49,E49/E48-1,E48/E49-1)</f>
        <v>8.0382933789456157E-2</v>
      </c>
      <c r="F53" s="627" t="str">
        <f>IF(OR(E53&gt;=0.3,E53&lt;=-0.3),"超过30%","")</f>
        <v/>
      </c>
      <c r="G53" s="626">
        <f>IF(G48&lt;G49,G49/G48-1,G48/G49-1)</f>
        <v>6.9773719015700175E-2</v>
      </c>
      <c r="H53" s="627" t="str">
        <f>IF(OR(G53&gt;=0.3,G53&lt;=-0.3),"超过30%","")</f>
        <v/>
      </c>
      <c r="I53" s="626">
        <f>IF(I48&lt;I49,I49/I48-1,I48/I49-1)</f>
        <v>0.10336645410054857</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549</v>
      </c>
      <c r="D54" s="628"/>
      <c r="E54" s="626">
        <f>IF(E49&lt;G49,G49/E49-1,E49/G49-1)</f>
        <v>4.1211101766190028E-2</v>
      </c>
      <c r="F54" s="627" t="str">
        <f>IF(OR(E54&gt;=0.2,E54&lt;=-0.2),"超过20%","")</f>
        <v/>
      </c>
      <c r="G54" s="626">
        <f>IF(G49&lt;I49,I49/G49-1,G49/I49-1)</f>
        <v>6.5412186379928405E-2</v>
      </c>
      <c r="H54" s="627" t="str">
        <f>IF(OR(G54&gt;=0.2,G54&lt;=-0.2),"超过20%","")</f>
        <v/>
      </c>
      <c r="I54" s="626">
        <f>IF(I49&lt;E49,E49/I49-1,I49/E49-1)</f>
        <v>0.10931899641577059</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550</v>
      </c>
      <c r="D55" s="628"/>
      <c r="E55" s="626">
        <f>IF(E48&lt;G48,G48/E48-1,E48/G48-1)</f>
        <v>3.0986549102523853E-2</v>
      </c>
      <c r="F55" s="627" t="str">
        <f>IF(OR(E55&gt;=0.3,E55&lt;=-0.3),"超过30%","")</f>
        <v/>
      </c>
      <c r="G55" s="626">
        <f>IF(G48&lt;I48,I48/G48-1,G48/I48-1)</f>
        <v>9.8867961836966778E-2</v>
      </c>
      <c r="H55" s="627" t="str">
        <f>IF(OR(G55&gt;=0.3,G55&lt;=-0.3),"超过30%","")</f>
        <v/>
      </c>
      <c r="I55" s="626">
        <f>IF(I48&lt;E48,E48/I48-1,I48/E48-1)</f>
        <v>0.13291808789361803</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551</v>
      </c>
      <c r="B57" s="630" t="s">
        <v>552</v>
      </c>
      <c r="C57" s="1545" t="s">
        <v>1713</v>
      </c>
      <c r="D57" s="2211" t="s">
        <v>2279</v>
      </c>
      <c r="E57" s="631" t="s">
        <v>553</v>
      </c>
      <c r="F57" s="632" t="s">
        <v>554</v>
      </c>
      <c r="G57" s="3411" t="s">
        <v>2267</v>
      </c>
      <c r="H57" s="3412"/>
      <c r="I57" s="1540" t="s">
        <v>1711</v>
      </c>
      <c r="J57" s="1540">
        <f>项目基本情况!F41</f>
        <v>0</v>
      </c>
      <c r="K57" s="2138" t="s">
        <v>1712</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555</v>
      </c>
      <c r="B58" s="634">
        <f>C50</f>
        <v>2362</v>
      </c>
      <c r="C58" s="635">
        <v>1</v>
      </c>
      <c r="D58" s="2212">
        <v>1</v>
      </c>
      <c r="E58" s="635">
        <f>'数据-汇总表'!E8+'数据-汇总表'!E9</f>
        <v>169127.44</v>
      </c>
      <c r="F58" s="636">
        <f t="shared" ref="F58:F67" si="15">ROUND(B58*E58/10000,0)</f>
        <v>39948</v>
      </c>
      <c r="G58" s="3413"/>
      <c r="H58" s="341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556</v>
      </c>
      <c r="B59" s="638">
        <f>ROUND($C$50*C59*D59,0)</f>
        <v>0</v>
      </c>
      <c r="C59" s="378">
        <f t="shared" ref="C59:C67" si="16">IF($C$57="北京市系数",I59,J59)</f>
        <v>0</v>
      </c>
      <c r="D59" s="2213">
        <v>0.25</v>
      </c>
      <c r="E59" s="639">
        <v>0</v>
      </c>
      <c r="F59" s="636">
        <f t="shared" si="15"/>
        <v>0</v>
      </c>
      <c r="G59" s="3415" t="s">
        <v>2268</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557</v>
      </c>
      <c r="B60" s="638">
        <f t="shared" ref="B60:B67" si="17">ROUND($C$50*C60*D60,0)</f>
        <v>0</v>
      </c>
      <c r="C60" s="378">
        <f t="shared" si="16"/>
        <v>0</v>
      </c>
      <c r="D60" s="2213">
        <v>0.25</v>
      </c>
      <c r="E60" s="639">
        <v>0</v>
      </c>
      <c r="F60" s="636">
        <f t="shared" si="15"/>
        <v>0</v>
      </c>
      <c r="G60" s="341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558</v>
      </c>
      <c r="B61" s="638">
        <f t="shared" si="17"/>
        <v>0</v>
      </c>
      <c r="C61" s="378">
        <f t="shared" si="16"/>
        <v>0</v>
      </c>
      <c r="D61" s="2213">
        <v>0.25</v>
      </c>
      <c r="E61" s="639">
        <v>0</v>
      </c>
      <c r="F61" s="636">
        <f t="shared" si="15"/>
        <v>0</v>
      </c>
      <c r="G61" s="341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559</v>
      </c>
      <c r="B62" s="638">
        <f t="shared" si="17"/>
        <v>0</v>
      </c>
      <c r="C62" s="378">
        <f t="shared" si="16"/>
        <v>0</v>
      </c>
      <c r="D62" s="2213">
        <v>0.25</v>
      </c>
      <c r="E62" s="639">
        <v>0</v>
      </c>
      <c r="F62" s="636">
        <f t="shared" si="15"/>
        <v>0</v>
      </c>
      <c r="G62" s="341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2314</v>
      </c>
      <c r="B63" s="638">
        <f t="shared" si="17"/>
        <v>0</v>
      </c>
      <c r="C63" s="378">
        <f t="shared" si="16"/>
        <v>0</v>
      </c>
      <c r="D63" s="2213">
        <v>0.25</v>
      </c>
      <c r="E63" s="641">
        <f>'数据-汇总表'!E11</f>
        <v>0</v>
      </c>
      <c r="F63" s="636">
        <f t="shared" si="15"/>
        <v>0</v>
      </c>
      <c r="G63" s="1929" t="s">
        <v>2269</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560</v>
      </c>
      <c r="B64" s="638">
        <f t="shared" si="17"/>
        <v>0</v>
      </c>
      <c r="C64" s="378">
        <f t="shared" si="16"/>
        <v>0</v>
      </c>
      <c r="D64" s="2213">
        <v>0.25</v>
      </c>
      <c r="E64" s="641">
        <f>'数据-汇总表'!E12</f>
        <v>0</v>
      </c>
      <c r="F64" s="636">
        <f t="shared" si="15"/>
        <v>0</v>
      </c>
      <c r="G64" s="1930" t="s">
        <v>1666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561</v>
      </c>
      <c r="B65" s="638">
        <f t="shared" si="17"/>
        <v>0</v>
      </c>
      <c r="C65" s="378">
        <f t="shared" si="16"/>
        <v>0</v>
      </c>
      <c r="D65" s="2213">
        <v>0.25</v>
      </c>
      <c r="E65" s="641">
        <f>'数据-汇总表'!E13</f>
        <v>38387.129999999997</v>
      </c>
      <c r="F65" s="636">
        <f t="shared" si="15"/>
        <v>0</v>
      </c>
      <c r="G65" s="1930" t="s">
        <v>912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562</v>
      </c>
      <c r="B66" s="638">
        <f t="shared" si="17"/>
        <v>0</v>
      </c>
      <c r="C66" s="378">
        <f t="shared" si="16"/>
        <v>0</v>
      </c>
      <c r="D66" s="2213">
        <v>0.25</v>
      </c>
      <c r="E66" s="641">
        <f>'数据-汇总表'!E14</f>
        <v>0</v>
      </c>
      <c r="F66" s="636">
        <f t="shared" si="15"/>
        <v>0</v>
      </c>
      <c r="G66" s="1929" t="s">
        <v>2268</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563</v>
      </c>
      <c r="B67" s="638">
        <f t="shared" si="17"/>
        <v>0</v>
      </c>
      <c r="C67" s="378">
        <f t="shared" si="16"/>
        <v>0</v>
      </c>
      <c r="D67" s="2213">
        <v>0.25</v>
      </c>
      <c r="E67" s="641">
        <f>'数据-汇总表'!E15</f>
        <v>0</v>
      </c>
      <c r="F67" s="636">
        <f t="shared" si="15"/>
        <v>0</v>
      </c>
      <c r="G67" s="1931" t="s">
        <v>2269</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564</v>
      </c>
      <c r="B68" s="643" t="s">
        <v>17</v>
      </c>
      <c r="C68" s="643" t="s">
        <v>18</v>
      </c>
      <c r="D68" s="643" t="s">
        <v>2280</v>
      </c>
      <c r="E68" s="643">
        <f>IF(B48="楼面地价",SUM(E58:E67),'数据-汇总表'!D3)</f>
        <v>207514.57</v>
      </c>
      <c r="F68" s="644">
        <f>IF(B48="楼面地价",SUM(F58:F67),ROUND(C50*E68/10000,0))</f>
        <v>39948</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565</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2518</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t="s">
        <v>3081</v>
      </c>
      <c r="P72" s="2144" t="s">
        <v>3082</v>
      </c>
      <c r="Q72" s="2145"/>
      <c r="R72" s="2145"/>
      <c r="S72" s="2145"/>
      <c r="T72" s="2145"/>
      <c r="U72" s="2145"/>
      <c r="V72" s="2145"/>
      <c r="W72" s="2145"/>
      <c r="X72" s="2145"/>
      <c r="Y72" s="2145"/>
      <c r="Z72" s="2145"/>
      <c r="AA72" s="2145"/>
      <c r="AB72" s="2145"/>
      <c r="AC72" s="2145"/>
    </row>
    <row r="73" spans="1:29" s="1215" customFormat="1" ht="27" customHeight="1">
      <c r="A73" s="2760" t="s">
        <v>2632</v>
      </c>
      <c r="B73" s="479" t="str">
        <f>"北京市平均增长率"&amp;TEXT(SUMIF(基准地价!N21:N25,A73,基准地价!P21:P25),"0.00%")</f>
        <v>北京市平均增长率1.85%</v>
      </c>
      <c r="C73" s="894">
        <v>100</v>
      </c>
      <c r="D73" s="730">
        <f>C73-0.2</f>
        <v>99.8</v>
      </c>
      <c r="E73" s="730">
        <f t="shared" ref="E73:N73" si="20">D73-0.2</f>
        <v>99.6</v>
      </c>
      <c r="F73" s="730">
        <f t="shared" si="20"/>
        <v>99.399999999999991</v>
      </c>
      <c r="G73" s="730">
        <f t="shared" si="20"/>
        <v>99.199999999999989</v>
      </c>
      <c r="H73" s="730">
        <f t="shared" si="20"/>
        <v>98.999999999999986</v>
      </c>
      <c r="I73" s="730">
        <f t="shared" si="20"/>
        <v>98.799999999999983</v>
      </c>
      <c r="J73" s="730">
        <f t="shared" si="20"/>
        <v>98.59999999999998</v>
      </c>
      <c r="K73" s="730">
        <f t="shared" si="20"/>
        <v>98.399999999999977</v>
      </c>
      <c r="L73" s="730">
        <f t="shared" si="20"/>
        <v>98.199999999999974</v>
      </c>
      <c r="M73" s="730">
        <f t="shared" si="20"/>
        <v>97.999999999999972</v>
      </c>
      <c r="N73" s="730">
        <f t="shared" si="20"/>
        <v>97.799999999999969</v>
      </c>
      <c r="O73" s="730">
        <f>N73-0.2</f>
        <v>97.599999999999966</v>
      </c>
      <c r="P73" s="730">
        <f>O73-0.2</f>
        <v>97.399999999999963</v>
      </c>
      <c r="Q73" s="1977"/>
      <c r="R73" s="1977"/>
      <c r="S73" s="1977"/>
      <c r="T73" s="1977"/>
      <c r="U73" s="1977"/>
      <c r="V73" s="1977"/>
      <c r="W73" s="1977"/>
      <c r="X73" s="1977"/>
      <c r="Y73" s="1977"/>
      <c r="Z73" s="1977"/>
      <c r="AA73" s="1977"/>
      <c r="AB73" s="1977"/>
      <c r="AC73" s="1977"/>
    </row>
    <row r="74" spans="1:29" s="1215" customFormat="1" ht="15" customHeight="1" thickBot="1">
      <c r="A74" s="2751" t="s">
        <v>2631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522</v>
      </c>
      <c r="B75" s="648"/>
      <c r="C75" s="660" t="s">
        <v>567</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568</v>
      </c>
      <c r="B77" s="665" t="s">
        <v>525</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528</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529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530</v>
      </c>
      <c r="B90" s="665" t="s">
        <v>569</v>
      </c>
      <c r="C90" s="703" t="s">
        <v>570</v>
      </c>
      <c r="D90" s="703" t="s">
        <v>571</v>
      </c>
      <c r="E90" s="703" t="s">
        <v>572</v>
      </c>
      <c r="F90" s="703" t="s">
        <v>573</v>
      </c>
      <c r="G90" s="703" t="s">
        <v>574</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575</v>
      </c>
      <c r="C92" s="708" t="s">
        <v>570</v>
      </c>
      <c r="D92" s="708" t="s">
        <v>571</v>
      </c>
      <c r="E92" s="708" t="s">
        <v>572</v>
      </c>
      <c r="F92" s="708" t="s">
        <v>573</v>
      </c>
      <c r="G92" s="708" t="s">
        <v>574</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576</v>
      </c>
      <c r="C94" s="708" t="s">
        <v>570</v>
      </c>
      <c r="D94" s="708" t="s">
        <v>571</v>
      </c>
      <c r="E94" s="708" t="s">
        <v>572</v>
      </c>
      <c r="F94" s="708" t="s">
        <v>573</v>
      </c>
      <c r="G94" s="708" t="s">
        <v>574</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577</v>
      </c>
      <c r="C96" s="708" t="s">
        <v>570</v>
      </c>
      <c r="D96" s="708" t="s">
        <v>571</v>
      </c>
      <c r="E96" s="708" t="s">
        <v>572</v>
      </c>
      <c r="F96" s="708" t="s">
        <v>573</v>
      </c>
      <c r="G96" s="708" t="s">
        <v>574</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578</v>
      </c>
      <c r="C98" s="708" t="s">
        <v>570</v>
      </c>
      <c r="D98" s="708" t="s">
        <v>571</v>
      </c>
      <c r="E98" s="708" t="s">
        <v>572</v>
      </c>
      <c r="F98" s="708" t="s">
        <v>573</v>
      </c>
      <c r="G98" s="708" t="s">
        <v>574</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579</v>
      </c>
      <c r="C100" s="703" t="s">
        <v>570</v>
      </c>
      <c r="D100" s="703" t="s">
        <v>571</v>
      </c>
      <c r="E100" s="703" t="s">
        <v>572</v>
      </c>
      <c r="F100" s="703" t="s">
        <v>573</v>
      </c>
      <c r="G100" s="703" t="s">
        <v>574</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2534</v>
      </c>
      <c r="C102" s="703" t="s">
        <v>570</v>
      </c>
      <c r="D102" s="703" t="s">
        <v>571</v>
      </c>
      <c r="E102" s="703" t="s">
        <v>572</v>
      </c>
      <c r="F102" s="703" t="s">
        <v>573</v>
      </c>
      <c r="G102" s="703" t="s">
        <v>574</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2536</v>
      </c>
      <c r="C104" s="2561" t="s">
        <v>2537</v>
      </c>
      <c r="D104" s="2561" t="s">
        <v>2538</v>
      </c>
      <c r="E104" s="2561" t="s">
        <v>2539</v>
      </c>
      <c r="F104" s="2561" t="s">
        <v>2540</v>
      </c>
      <c r="G104" s="2561" t="s">
        <v>2541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580</v>
      </c>
      <c r="D106" s="674" t="s">
        <v>581</v>
      </c>
      <c r="E106" s="674" t="s">
        <v>582</v>
      </c>
      <c r="F106" s="674" t="s">
        <v>583</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539</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540</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542</v>
      </c>
      <c r="B118" s="665" t="s">
        <v>584</v>
      </c>
      <c r="C118" s="704" t="str">
        <f t="shared" ref="C118:L118" si="26">C119&amp;"(含)"&amp;"-"&amp;D119</f>
        <v>0(含)-30000</v>
      </c>
      <c r="D118" s="704" t="str">
        <f t="shared" si="26"/>
        <v>30000(含)-50000</v>
      </c>
      <c r="E118" s="704" t="str">
        <f t="shared" si="26"/>
        <v>50000(含)-100000</v>
      </c>
      <c r="F118" s="704" t="str">
        <f t="shared" si="26"/>
        <v>100000(含)-</v>
      </c>
      <c r="G118" s="704" t="str">
        <f t="shared" si="26"/>
        <v>(含)-</v>
      </c>
      <c r="H118" s="704" t="str">
        <f t="shared" si="26"/>
        <v>(含)-</v>
      </c>
      <c r="I118" s="704" t="str">
        <f t="shared" si="26"/>
        <v>(含)-</v>
      </c>
      <c r="J118" s="3037" t="str">
        <f t="shared" si="26"/>
        <v>(含)-</v>
      </c>
      <c r="K118" s="3037" t="str">
        <f t="shared" si="26"/>
        <v>(含)-</v>
      </c>
      <c r="L118" s="3038" t="str">
        <f t="shared" si="26"/>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30000</v>
      </c>
      <c r="E119" s="730">
        <v>50000</v>
      </c>
      <c r="F119" s="730">
        <v>100000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26">
        <v>103</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585</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586</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2411</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587</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507</v>
      </c>
      <c r="B1" s="503"/>
      <c r="C1" s="504" t="s">
        <v>588</v>
      </c>
      <c r="D1" s="505" t="s">
        <v>509</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458</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1674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511</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460</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512</v>
      </c>
      <c r="B6" s="513"/>
      <c r="C6" s="3391" t="s">
        <v>513</v>
      </c>
      <c r="D6" s="3392"/>
      <c r="E6" s="3425" t="s">
        <v>514</v>
      </c>
      <c r="F6" s="3426"/>
      <c r="G6" s="3391" t="s">
        <v>515</v>
      </c>
      <c r="H6" s="3392"/>
      <c r="I6" s="3391" t="s">
        <v>516</v>
      </c>
      <c r="J6" s="3392"/>
      <c r="K6" s="514" t="s">
        <v>517</v>
      </c>
      <c r="L6" s="2117"/>
      <c r="M6" s="2118"/>
      <c r="N6" s="2118"/>
      <c r="O6" s="2118"/>
      <c r="P6" s="3393" t="s">
        <v>518</v>
      </c>
      <c r="Q6" s="3394"/>
      <c r="R6" s="3399" t="s">
        <v>514</v>
      </c>
      <c r="S6" s="3400"/>
      <c r="T6" s="3399" t="s">
        <v>515</v>
      </c>
      <c r="U6" s="3400"/>
      <c r="V6" s="3386" t="s">
        <v>516</v>
      </c>
      <c r="W6" s="3386"/>
      <c r="X6" s="1552"/>
      <c r="Y6" s="3399" t="s">
        <v>518</v>
      </c>
      <c r="Z6" s="3400"/>
      <c r="AA6" s="3388" t="s">
        <v>514</v>
      </c>
      <c r="AB6" s="3389" t="s">
        <v>515</v>
      </c>
      <c r="AC6" s="3388" t="s">
        <v>516</v>
      </c>
    </row>
    <row r="7" spans="1:29" ht="15">
      <c r="A7" s="515"/>
      <c r="B7" s="516"/>
      <c r="C7" s="3407" t="s">
        <v>2916</v>
      </c>
      <c r="D7" s="3408"/>
      <c r="E7" s="3427" t="s">
        <v>2917</v>
      </c>
      <c r="F7" s="3428"/>
      <c r="G7" s="3407" t="s">
        <v>2918</v>
      </c>
      <c r="H7" s="3408"/>
      <c r="I7" s="3407" t="s">
        <v>2919</v>
      </c>
      <c r="J7" s="3408"/>
      <c r="K7" s="514"/>
      <c r="L7" s="2117"/>
      <c r="M7" s="2118"/>
      <c r="N7" s="2118"/>
      <c r="O7" s="2118"/>
      <c r="P7" s="3395"/>
      <c r="Q7" s="3396"/>
      <c r="R7" s="3401"/>
      <c r="S7" s="3402"/>
      <c r="T7" s="3401"/>
      <c r="U7" s="3402"/>
      <c r="V7" s="3386"/>
      <c r="W7" s="3386"/>
      <c r="X7" s="1552"/>
      <c r="Y7" s="3401"/>
      <c r="Z7" s="3402"/>
      <c r="AA7" s="3389"/>
      <c r="AB7" s="3389"/>
      <c r="AC7" s="3389"/>
    </row>
    <row r="8" spans="1:29" ht="15.75" thickBot="1">
      <c r="A8" s="517"/>
      <c r="B8" s="518"/>
      <c r="C8" s="3405" t="s">
        <v>2920</v>
      </c>
      <c r="D8" s="3406"/>
      <c r="E8" s="3423" t="s">
        <v>2920</v>
      </c>
      <c r="F8" s="3424"/>
      <c r="G8" s="3405" t="s">
        <v>2920</v>
      </c>
      <c r="H8" s="3406"/>
      <c r="I8" s="3405" t="s">
        <v>2920</v>
      </c>
      <c r="J8" s="3406"/>
      <c r="K8" s="514" t="s">
        <v>519</v>
      </c>
      <c r="L8" s="2117"/>
      <c r="M8" s="2118"/>
      <c r="N8" s="2118"/>
      <c r="O8" s="2118"/>
      <c r="P8" s="3397"/>
      <c r="Q8" s="3398"/>
      <c r="R8" s="3401"/>
      <c r="S8" s="3402"/>
      <c r="T8" s="3403"/>
      <c r="U8" s="3404"/>
      <c r="V8" s="3386"/>
      <c r="W8" s="3386"/>
      <c r="X8" s="1552"/>
      <c r="Y8" s="3403"/>
      <c r="Z8" s="3404"/>
      <c r="AA8" s="3390"/>
      <c r="AB8" s="3390"/>
      <c r="AC8" s="3390"/>
    </row>
    <row r="9" spans="1:29" s="1215" customFormat="1" ht="15.75" thickBot="1">
      <c r="A9" s="2866"/>
      <c r="B9" s="2873" t="s">
        <v>520</v>
      </c>
      <c r="C9" s="519">
        <f>'数据-取费表'!B2</f>
        <v>43998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6" t="s">
        <v>521</v>
      </c>
      <c r="Q9" s="3418"/>
      <c r="R9" s="1553" t="s">
        <v>8</v>
      </c>
      <c r="S9" s="1554">
        <f t="shared" ref="S9:S17" si="0">F9</f>
        <v>0</v>
      </c>
      <c r="T9" s="1553" t="s">
        <v>8</v>
      </c>
      <c r="U9" s="1554">
        <f t="shared" ref="U9:U17" si="1">H9</f>
        <v>0</v>
      </c>
      <c r="V9" s="1553" t="s">
        <v>8</v>
      </c>
      <c r="W9" s="1554">
        <f t="shared" ref="W9:W17" si="2">J9</f>
        <v>0</v>
      </c>
      <c r="X9" s="1555"/>
      <c r="Y9" s="3416" t="s">
        <v>521</v>
      </c>
      <c r="Z9" s="3417"/>
      <c r="AA9" s="1556" t="e">
        <f>D9/F9</f>
        <v>#DIV/0!</v>
      </c>
      <c r="AB9" s="1556" t="e">
        <f>D9/H9</f>
        <v>#DIV/0!</v>
      </c>
      <c r="AC9" s="1556" t="e">
        <f>D9/J9</f>
        <v>#DIV/0!</v>
      </c>
    </row>
    <row r="10" spans="1:29" s="1215" customFormat="1" ht="15.75" thickBot="1">
      <c r="A10" s="2867"/>
      <c r="B10" s="2874" t="s">
        <v>522</v>
      </c>
      <c r="C10" s="525" t="s">
        <v>523</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6" t="s">
        <v>524</v>
      </c>
      <c r="Q10" s="3417"/>
      <c r="R10" s="1553" t="s">
        <v>8</v>
      </c>
      <c r="S10" s="1554">
        <f t="shared" si="0"/>
        <v>0</v>
      </c>
      <c r="T10" s="1553" t="s">
        <v>8</v>
      </c>
      <c r="U10" s="1554">
        <f t="shared" si="1"/>
        <v>0</v>
      </c>
      <c r="V10" s="1553" t="s">
        <v>8</v>
      </c>
      <c r="W10" s="1554">
        <f t="shared" si="2"/>
        <v>0</v>
      </c>
      <c r="X10" s="1555"/>
      <c r="Y10" s="3416" t="s">
        <v>524</v>
      </c>
      <c r="Z10" s="3417"/>
      <c r="AA10" s="1556" t="e">
        <f t="shared" ref="AA10:AA42" si="3">D10/F10</f>
        <v>#DIV/0!</v>
      </c>
      <c r="AB10" s="1556" t="e">
        <f t="shared" ref="AB10:AB42" si="4">D10/H10</f>
        <v>#DIV/0!</v>
      </c>
      <c r="AC10" s="1556" t="e">
        <f t="shared" ref="AC10:AC42" si="5">D10/J10</f>
        <v>#DIV/0!</v>
      </c>
    </row>
    <row r="11" spans="1:29" s="1215" customFormat="1" ht="15">
      <c r="A11" s="2868"/>
      <c r="B11" s="2875" t="s">
        <v>2741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5" t="s">
        <v>526</v>
      </c>
      <c r="Q11" s="1146" t="str">
        <f t="shared" ref="Q11:Q17" si="6">B11</f>
        <v>用途</v>
      </c>
      <c r="R11" s="1553" t="s">
        <v>8</v>
      </c>
      <c r="S11" s="1554">
        <f t="shared" si="0"/>
        <v>100</v>
      </c>
      <c r="T11" s="1553" t="s">
        <v>8</v>
      </c>
      <c r="U11" s="1554">
        <f t="shared" si="1"/>
        <v>100</v>
      </c>
      <c r="V11" s="1553" t="s">
        <v>8</v>
      </c>
      <c r="W11" s="1554">
        <f t="shared" si="2"/>
        <v>100</v>
      </c>
      <c r="X11" s="1555"/>
      <c r="Y11" s="3334" t="s">
        <v>527</v>
      </c>
      <c r="Z11" s="1145" t="str">
        <f t="shared" ref="Z11:Z17" si="7">Q11</f>
        <v>用途</v>
      </c>
      <c r="AA11" s="1556">
        <f t="shared" si="3"/>
        <v>1</v>
      </c>
      <c r="AB11" s="1556">
        <f t="shared" si="4"/>
        <v>1</v>
      </c>
      <c r="AC11" s="1556">
        <f t="shared" si="5"/>
        <v>1</v>
      </c>
    </row>
    <row r="12" spans="1:29" s="1333" customFormat="1" ht="27">
      <c r="A12" s="2869"/>
      <c r="B12" s="2874" t="s">
        <v>2742</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85"/>
      <c r="Q12" s="1146" t="str">
        <f t="shared" si="6"/>
        <v>土地使用年限（年）</v>
      </c>
      <c r="R12" s="1553" t="s">
        <v>8</v>
      </c>
      <c r="S12" s="1554">
        <f t="shared" si="0"/>
        <v>101</v>
      </c>
      <c r="T12" s="1553" t="s">
        <v>8</v>
      </c>
      <c r="U12" s="1554">
        <f t="shared" si="1"/>
        <v>101</v>
      </c>
      <c r="V12" s="1553" t="s">
        <v>8</v>
      </c>
      <c r="W12" s="1554">
        <f t="shared" si="2"/>
        <v>101</v>
      </c>
      <c r="X12" s="1555"/>
      <c r="Y12" s="3334"/>
      <c r="Z12" s="1145" t="str">
        <f t="shared" si="7"/>
        <v>土地使用年限（年）</v>
      </c>
      <c r="AA12" s="1556">
        <f t="shared" si="3"/>
        <v>0.99009900990099009</v>
      </c>
      <c r="AB12" s="1556">
        <f t="shared" si="4"/>
        <v>0.99009900990099009</v>
      </c>
      <c r="AC12" s="1556">
        <f t="shared" si="5"/>
        <v>0.99009900990099009</v>
      </c>
    </row>
    <row r="13" spans="1:29" ht="15">
      <c r="A13" s="2870"/>
      <c r="B13" s="2874" t="s">
        <v>2743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5"/>
      <c r="Q13" s="1146" t="str">
        <f t="shared" si="6"/>
        <v>容积率</v>
      </c>
      <c r="R13" s="1553" t="s">
        <v>8</v>
      </c>
      <c r="S13" s="1554" t="e">
        <f t="shared" si="0"/>
        <v>#N/A</v>
      </c>
      <c r="T13" s="1553" t="s">
        <v>8</v>
      </c>
      <c r="U13" s="1554" t="e">
        <f t="shared" si="1"/>
        <v>#N/A</v>
      </c>
      <c r="V13" s="1553" t="s">
        <v>8</v>
      </c>
      <c r="W13" s="1554" t="e">
        <f t="shared" si="2"/>
        <v>#N/A</v>
      </c>
      <c r="X13" s="1555"/>
      <c r="Y13" s="3334"/>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5"/>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5"/>
      <c r="Q15" s="1146">
        <f t="shared" si="6"/>
        <v>111</v>
      </c>
      <c r="R15" s="1553" t="s">
        <v>8</v>
      </c>
      <c r="S15" s="1554">
        <f t="shared" si="0"/>
        <v>100</v>
      </c>
      <c r="T15" s="1553" t="s">
        <v>8</v>
      </c>
      <c r="U15" s="1554">
        <f t="shared" si="1"/>
        <v>100</v>
      </c>
      <c r="V15" s="1553" t="s">
        <v>8</v>
      </c>
      <c r="W15" s="1554">
        <f t="shared" si="2"/>
        <v>100</v>
      </c>
      <c r="X15" s="1555"/>
      <c r="Y15" s="3334"/>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5"/>
      <c r="Q16" s="1146">
        <f t="shared" si="6"/>
        <v>111</v>
      </c>
      <c r="R16" s="1553" t="s">
        <v>8</v>
      </c>
      <c r="S16" s="1554">
        <f t="shared" si="0"/>
        <v>100</v>
      </c>
      <c r="T16" s="1553" t="s">
        <v>8</v>
      </c>
      <c r="U16" s="1554">
        <f t="shared" si="1"/>
        <v>100</v>
      </c>
      <c r="V16" s="1553" t="s">
        <v>8</v>
      </c>
      <c r="W16" s="1554">
        <f t="shared" si="2"/>
        <v>100</v>
      </c>
      <c r="X16" s="1555"/>
      <c r="Y16" s="3334"/>
      <c r="Z16" s="1145">
        <f t="shared" si="7"/>
        <v>111</v>
      </c>
      <c r="AA16" s="1556">
        <f t="shared" si="3"/>
        <v>1</v>
      </c>
      <c r="AB16" s="1556">
        <f t="shared" si="4"/>
        <v>1</v>
      </c>
      <c r="AC16" s="1556">
        <f t="shared" si="5"/>
        <v>1</v>
      </c>
    </row>
    <row r="17" spans="1:29" ht="57">
      <c r="A17" s="2864" t="s">
        <v>2739</v>
      </c>
      <c r="B17" s="166" t="s">
        <v>589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9" t="s">
        <v>531</v>
      </c>
      <c r="Q17" s="1557" t="str">
        <f t="shared" si="6"/>
        <v>产业集聚程度</v>
      </c>
      <c r="R17" s="1558" t="s">
        <v>8</v>
      </c>
      <c r="S17" s="1559">
        <f t="shared" si="0"/>
        <v>100</v>
      </c>
      <c r="T17" s="1558" t="s">
        <v>8</v>
      </c>
      <c r="U17" s="1559">
        <f t="shared" si="1"/>
        <v>100</v>
      </c>
      <c r="V17" s="1558" t="s">
        <v>8</v>
      </c>
      <c r="W17" s="1559">
        <f t="shared" si="2"/>
        <v>100</v>
      </c>
      <c r="X17" s="1552"/>
      <c r="Y17" s="3419" t="s">
        <v>531</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20"/>
      <c r="Q18" s="1557"/>
      <c r="R18" s="1558"/>
      <c r="S18" s="1559"/>
      <c r="T18" s="1558"/>
      <c r="U18" s="1559"/>
      <c r="V18" s="1558"/>
      <c r="W18" s="1559"/>
      <c r="X18" s="1552"/>
      <c r="Y18" s="3420"/>
      <c r="Z18" s="1560"/>
      <c r="AA18" s="1561">
        <v>1</v>
      </c>
      <c r="AB18" s="1561">
        <v>1</v>
      </c>
      <c r="AC18" s="1561">
        <v>1</v>
      </c>
    </row>
    <row r="19" spans="1:29" ht="85.5">
      <c r="A19" s="532"/>
      <c r="B19" s="871" t="s">
        <v>534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20"/>
      <c r="Q19" s="1557" t="str">
        <f>B19</f>
        <v>交通便捷度</v>
      </c>
      <c r="R19" s="1558" t="s">
        <v>8</v>
      </c>
      <c r="S19" s="1559">
        <f>F19</f>
        <v>100</v>
      </c>
      <c r="T19" s="1558" t="s">
        <v>8</v>
      </c>
      <c r="U19" s="1559">
        <f>H19</f>
        <v>100</v>
      </c>
      <c r="V19" s="1558" t="s">
        <v>8</v>
      </c>
      <c r="W19" s="1559">
        <f>J19</f>
        <v>100</v>
      </c>
      <c r="X19" s="1552"/>
      <c r="Y19" s="3420"/>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7">
      <c r="A21" s="515"/>
      <c r="B21" s="871" t="s">
        <v>535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20"/>
      <c r="Q21" s="1557" t="str">
        <f t="shared" ref="Q21:Q35" si="8">B21</f>
        <v>区域土地利用方向</v>
      </c>
      <c r="R21" s="1558" t="s">
        <v>8</v>
      </c>
      <c r="S21" s="1559">
        <f>F21</f>
        <v>100</v>
      </c>
      <c r="T21" s="1558" t="s">
        <v>8</v>
      </c>
      <c r="U21" s="1559">
        <f>H21</f>
        <v>100</v>
      </c>
      <c r="V21" s="1558" t="s">
        <v>8</v>
      </c>
      <c r="W21" s="1559">
        <f>J21</f>
        <v>100</v>
      </c>
      <c r="X21" s="1552"/>
      <c r="Y21" s="342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20"/>
      <c r="Q22" s="1557"/>
      <c r="R22" s="1558"/>
      <c r="S22" s="1559"/>
      <c r="T22" s="1558"/>
      <c r="U22" s="1559"/>
      <c r="V22" s="1558"/>
      <c r="W22" s="1559"/>
      <c r="X22" s="1552"/>
      <c r="Y22" s="3420"/>
      <c r="Z22" s="1560"/>
      <c r="AA22" s="1561"/>
      <c r="AB22" s="1561"/>
      <c r="AC22" s="1561"/>
    </row>
    <row r="23" spans="1:29" ht="71.25">
      <c r="A23" s="515"/>
      <c r="B23" s="922" t="s">
        <v>590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20"/>
      <c r="Q23" s="1557" t="str">
        <f t="shared" si="8"/>
        <v>环境状况</v>
      </c>
      <c r="R23" s="1558" t="s">
        <v>8</v>
      </c>
      <c r="S23" s="1559">
        <f>F23</f>
        <v>100</v>
      </c>
      <c r="T23" s="1558" t="s">
        <v>8</v>
      </c>
      <c r="U23" s="1559">
        <f>H23</f>
        <v>100</v>
      </c>
      <c r="V23" s="1558" t="s">
        <v>8</v>
      </c>
      <c r="W23" s="1559">
        <f>J23</f>
        <v>100</v>
      </c>
      <c r="X23" s="1552"/>
      <c r="Y23" s="342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20"/>
      <c r="Q24" s="1557"/>
      <c r="R24" s="1558"/>
      <c r="S24" s="1559"/>
      <c r="T24" s="1558"/>
      <c r="U24" s="1559"/>
      <c r="V24" s="1558"/>
      <c r="W24" s="1559"/>
      <c r="X24" s="1552"/>
      <c r="Y24" s="3420"/>
      <c r="Z24" s="1560"/>
      <c r="AA24" s="1561">
        <v>1</v>
      </c>
      <c r="AB24" s="1561">
        <v>1</v>
      </c>
      <c r="AC24" s="1561">
        <v>1</v>
      </c>
    </row>
    <row r="25" spans="1:29" s="1215" customFormat="1" ht="42.75">
      <c r="A25" s="577"/>
      <c r="B25" s="2556" t="s">
        <v>2534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20"/>
      <c r="Q25" s="1146" t="str">
        <f t="shared" si="8"/>
        <v>公共配套设施</v>
      </c>
      <c r="R25" s="1553" t="s">
        <v>8</v>
      </c>
      <c r="S25" s="1554">
        <f>F25</f>
        <v>100</v>
      </c>
      <c r="T25" s="1553" t="s">
        <v>8</v>
      </c>
      <c r="U25" s="1554">
        <f>H25</f>
        <v>100</v>
      </c>
      <c r="V25" s="1553" t="s">
        <v>8</v>
      </c>
      <c r="W25" s="1554">
        <f>J25</f>
        <v>100</v>
      </c>
      <c r="X25" s="1555"/>
      <c r="Y25" s="3420"/>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20"/>
      <c r="Q26" s="1146"/>
      <c r="R26" s="1553"/>
      <c r="S26" s="1554"/>
      <c r="T26" s="1553"/>
      <c r="U26" s="1554"/>
      <c r="V26" s="1553"/>
      <c r="W26" s="1554"/>
      <c r="X26" s="1555"/>
      <c r="Y26" s="3420"/>
      <c r="Z26" s="1145"/>
      <c r="AA26" s="1556">
        <v>1</v>
      </c>
      <c r="AB26" s="1556">
        <v>1</v>
      </c>
      <c r="AC26" s="1556">
        <v>1</v>
      </c>
    </row>
    <row r="27" spans="1:29" s="1215" customFormat="1" ht="28.5">
      <c r="A27" s="577"/>
      <c r="B27" s="2556" t="s">
        <v>2535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20"/>
      <c r="Q27" s="2541" t="str">
        <f t="shared" ref="Q27" si="9">B27</f>
        <v>基础设施水平</v>
      </c>
      <c r="R27" s="1553" t="s">
        <v>8</v>
      </c>
      <c r="S27" s="1554">
        <f>F27</f>
        <v>100</v>
      </c>
      <c r="T27" s="1553" t="s">
        <v>8</v>
      </c>
      <c r="U27" s="1554">
        <f>H27</f>
        <v>100</v>
      </c>
      <c r="V27" s="1553" t="s">
        <v>8</v>
      </c>
      <c r="W27" s="1554">
        <f>J27</f>
        <v>100</v>
      </c>
      <c r="X27" s="1555"/>
      <c r="Y27" s="3420"/>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20"/>
      <c r="Q28" s="2541"/>
      <c r="R28" s="1553"/>
      <c r="S28" s="1554"/>
      <c r="T28" s="1553"/>
      <c r="U28" s="1554"/>
      <c r="V28" s="1553"/>
      <c r="W28" s="1554"/>
      <c r="X28" s="1555"/>
      <c r="Y28" s="3420"/>
      <c r="Z28" s="2538"/>
      <c r="AA28" s="1556">
        <v>1</v>
      </c>
      <c r="AB28" s="1556">
        <v>1</v>
      </c>
      <c r="AC28" s="1556">
        <v>1</v>
      </c>
    </row>
    <row r="29" spans="1:29" ht="15">
      <c r="A29" s="532"/>
      <c r="B29" s="595" t="s">
        <v>538</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2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0"/>
      <c r="Z29" s="1560" t="str">
        <f t="shared" ref="Z29:Z42" si="13">Q29</f>
        <v>临街状况</v>
      </c>
      <c r="AA29" s="1561">
        <f t="shared" si="3"/>
        <v>1</v>
      </c>
      <c r="AB29" s="1561">
        <f t="shared" si="4"/>
        <v>1</v>
      </c>
      <c r="AC29" s="1561">
        <f t="shared" si="5"/>
        <v>1</v>
      </c>
    </row>
    <row r="30" spans="1:29" ht="27">
      <c r="A30" s="532"/>
      <c r="B30" s="922" t="s">
        <v>539</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20"/>
      <c r="Q30" s="1557" t="str">
        <f t="shared" si="8"/>
        <v>毗邻道路的类型与等级</v>
      </c>
      <c r="R30" s="1558" t="s">
        <v>8</v>
      </c>
      <c r="S30" s="1559">
        <f t="shared" si="10"/>
        <v>100</v>
      </c>
      <c r="T30" s="1558" t="s">
        <v>8</v>
      </c>
      <c r="U30" s="1559">
        <f t="shared" si="11"/>
        <v>100</v>
      </c>
      <c r="V30" s="1558" t="s">
        <v>8</v>
      </c>
      <c r="W30" s="1559">
        <f t="shared" si="12"/>
        <v>100</v>
      </c>
      <c r="X30" s="1552"/>
      <c r="Y30" s="342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20"/>
      <c r="Q31" s="1557"/>
      <c r="R31" s="1558"/>
      <c r="S31" s="1559"/>
      <c r="T31" s="1558"/>
      <c r="U31" s="1559"/>
      <c r="V31" s="1558"/>
      <c r="W31" s="1559"/>
      <c r="X31" s="1552"/>
      <c r="Y31" s="3420"/>
      <c r="Z31" s="1560"/>
      <c r="AA31" s="1561">
        <v>1</v>
      </c>
      <c r="AB31" s="1561">
        <v>1</v>
      </c>
      <c r="AC31" s="1561">
        <v>1</v>
      </c>
    </row>
    <row r="32" spans="1:29" ht="15">
      <c r="A32" s="532"/>
      <c r="B32" s="527" t="s">
        <v>540</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20"/>
      <c r="Q32" s="1557" t="str">
        <f t="shared" si="8"/>
        <v>土地级别</v>
      </c>
      <c r="R32" s="1558" t="s">
        <v>8</v>
      </c>
      <c r="S32" s="1559">
        <f t="shared" si="10"/>
        <v>100</v>
      </c>
      <c r="T32" s="1558" t="s">
        <v>8</v>
      </c>
      <c r="U32" s="1559">
        <f t="shared" si="11"/>
        <v>100</v>
      </c>
      <c r="V32" s="1558" t="s">
        <v>8</v>
      </c>
      <c r="W32" s="1559">
        <f t="shared" si="12"/>
        <v>100</v>
      </c>
      <c r="X32" s="1552"/>
      <c r="Y32" s="342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20"/>
      <c r="Q33" s="1557">
        <f t="shared" si="8"/>
        <v>111</v>
      </c>
      <c r="R33" s="1558" t="s">
        <v>8</v>
      </c>
      <c r="S33" s="1559">
        <f t="shared" si="10"/>
        <v>100</v>
      </c>
      <c r="T33" s="1558" t="s">
        <v>8</v>
      </c>
      <c r="U33" s="1559">
        <f t="shared" si="11"/>
        <v>100</v>
      </c>
      <c r="V33" s="1558" t="s">
        <v>8</v>
      </c>
      <c r="W33" s="1559">
        <f t="shared" si="12"/>
        <v>100</v>
      </c>
      <c r="X33" s="1552"/>
      <c r="Y33" s="342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1" t="s">
        <v>541</v>
      </c>
      <c r="Q34" s="1557">
        <f t="shared" si="8"/>
        <v>111</v>
      </c>
      <c r="R34" s="1558" t="s">
        <v>8</v>
      </c>
      <c r="S34" s="1559">
        <f t="shared" si="10"/>
        <v>100</v>
      </c>
      <c r="T34" s="1558" t="s">
        <v>8</v>
      </c>
      <c r="U34" s="1559">
        <f t="shared" si="11"/>
        <v>100</v>
      </c>
      <c r="V34" s="1558" t="s">
        <v>8</v>
      </c>
      <c r="W34" s="1559">
        <f t="shared" si="12"/>
        <v>100</v>
      </c>
      <c r="X34" s="1552"/>
      <c r="Y34" s="3422" t="s">
        <v>541</v>
      </c>
      <c r="Z34" s="1560">
        <f t="shared" si="13"/>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2"/>
      <c r="Q35" s="1557">
        <f t="shared" si="8"/>
        <v>111</v>
      </c>
      <c r="R35" s="1562" t="s">
        <v>8</v>
      </c>
      <c r="S35" s="1563">
        <f t="shared" si="10"/>
        <v>100</v>
      </c>
      <c r="T35" s="1562" t="s">
        <v>8</v>
      </c>
      <c r="U35" s="1563">
        <f t="shared" si="11"/>
        <v>100</v>
      </c>
      <c r="V35" s="1562" t="s">
        <v>8</v>
      </c>
      <c r="W35" s="1563">
        <f t="shared" si="12"/>
        <v>100</v>
      </c>
      <c r="X35" s="1564"/>
      <c r="Y35" s="3422"/>
      <c r="Z35" s="1565">
        <f t="shared" si="13"/>
        <v>111</v>
      </c>
      <c r="AA35" s="1561">
        <f t="shared" si="3"/>
        <v>1</v>
      </c>
      <c r="AB35" s="1561">
        <f t="shared" si="4"/>
        <v>1</v>
      </c>
      <c r="AC35" s="1561">
        <f t="shared" si="5"/>
        <v>1</v>
      </c>
    </row>
    <row r="36" spans="1:29" ht="15">
      <c r="A36" s="2861" t="s">
        <v>2740</v>
      </c>
      <c r="B36" s="595" t="s">
        <v>543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2"/>
      <c r="Q36" s="1557" t="str">
        <f>B36</f>
        <v>宗地面积</v>
      </c>
      <c r="R36" s="1558" t="s">
        <v>8</v>
      </c>
      <c r="S36" s="1559" t="e">
        <f t="shared" si="10"/>
        <v>#N/A</v>
      </c>
      <c r="T36" s="1558" t="s">
        <v>8</v>
      </c>
      <c r="U36" s="1559" t="e">
        <f t="shared" si="11"/>
        <v>#N/A</v>
      </c>
      <c r="V36" s="1558" t="s">
        <v>8</v>
      </c>
      <c r="W36" s="1559" t="e">
        <f t="shared" si="12"/>
        <v>#N/A</v>
      </c>
      <c r="X36" s="1552"/>
      <c r="Y36" s="3422"/>
      <c r="Z36" s="1560" t="str">
        <f t="shared" si="13"/>
        <v>宗地面积</v>
      </c>
      <c r="AA36" s="1561" t="e">
        <f t="shared" si="3"/>
        <v>#N/A</v>
      </c>
      <c r="AB36" s="1561" t="e">
        <f t="shared" si="4"/>
        <v>#N/A</v>
      </c>
      <c r="AC36" s="1561" t="e">
        <f t="shared" si="5"/>
        <v>#N/A</v>
      </c>
    </row>
    <row r="37" spans="1:29" ht="15">
      <c r="A37" s="594"/>
      <c r="B37" s="527" t="s">
        <v>544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2"/>
      <c r="Q37" s="1557" t="str">
        <f t="shared" ref="Q37:Q42" si="14">B37</f>
        <v>宗地形状</v>
      </c>
      <c r="R37" s="1558" t="s">
        <v>8</v>
      </c>
      <c r="S37" s="1559">
        <f t="shared" si="10"/>
        <v>100</v>
      </c>
      <c r="T37" s="1558" t="s">
        <v>8</v>
      </c>
      <c r="U37" s="1559">
        <f t="shared" si="11"/>
        <v>100</v>
      </c>
      <c r="V37" s="1558" t="s">
        <v>8</v>
      </c>
      <c r="W37" s="1559">
        <f t="shared" si="12"/>
        <v>100</v>
      </c>
      <c r="X37" s="1552"/>
      <c r="Y37" s="3422"/>
      <c r="Z37" s="1560" t="str">
        <f t="shared" si="13"/>
        <v>宗地形状</v>
      </c>
      <c r="AA37" s="1561">
        <f t="shared" si="3"/>
        <v>1</v>
      </c>
      <c r="AB37" s="1561">
        <f t="shared" si="4"/>
        <v>1</v>
      </c>
      <c r="AC37" s="1561">
        <f t="shared" si="5"/>
        <v>1</v>
      </c>
    </row>
    <row r="38" spans="1:29" s="1215" customFormat="1" ht="15">
      <c r="A38" s="600"/>
      <c r="B38" s="1879" t="s">
        <v>2410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2"/>
      <c r="Q38" s="1557" t="str">
        <f t="shared" si="14"/>
        <v>宗地开发程度</v>
      </c>
      <c r="R38" s="1553" t="s">
        <v>8</v>
      </c>
      <c r="S38" s="1554">
        <f t="shared" si="10"/>
        <v>100</v>
      </c>
      <c r="T38" s="1553" t="s">
        <v>8</v>
      </c>
      <c r="U38" s="1554">
        <f t="shared" si="11"/>
        <v>100</v>
      </c>
      <c r="V38" s="1553" t="s">
        <v>8</v>
      </c>
      <c r="W38" s="1554">
        <f t="shared" si="12"/>
        <v>100</v>
      </c>
      <c r="X38" s="1555"/>
      <c r="Y38" s="3422"/>
      <c r="Z38" s="1145" t="str">
        <f t="shared" si="13"/>
        <v>宗地开发程度</v>
      </c>
      <c r="AA38" s="1556">
        <f t="shared" si="3"/>
        <v>1</v>
      </c>
      <c r="AB38" s="1556">
        <f t="shared" si="4"/>
        <v>1</v>
      </c>
      <c r="AC38" s="1556">
        <f t="shared" si="5"/>
        <v>1</v>
      </c>
    </row>
    <row r="39" spans="1:29" ht="15">
      <c r="A39" s="594"/>
      <c r="B39" s="527" t="s">
        <v>546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t="s">
        <v>592</v>
      </c>
      <c r="Q39" s="1557" t="str">
        <f t="shared" si="14"/>
        <v>工程地质条件</v>
      </c>
      <c r="R39" s="1558" t="s">
        <v>8</v>
      </c>
      <c r="S39" s="1559">
        <f t="shared" si="10"/>
        <v>100</v>
      </c>
      <c r="T39" s="1558" t="s">
        <v>8</v>
      </c>
      <c r="U39" s="1559">
        <f t="shared" si="11"/>
        <v>100</v>
      </c>
      <c r="V39" s="1558" t="s">
        <v>8</v>
      </c>
      <c r="W39" s="1559">
        <f t="shared" si="12"/>
        <v>100</v>
      </c>
      <c r="X39" s="1552"/>
      <c r="Y39" s="3422" t="s">
        <v>592</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2"/>
      <c r="Q40" s="1557">
        <f t="shared" si="14"/>
        <v>111</v>
      </c>
      <c r="R40" s="1558" t="s">
        <v>8</v>
      </c>
      <c r="S40" s="1559">
        <f t="shared" si="10"/>
        <v>100</v>
      </c>
      <c r="T40" s="1558" t="s">
        <v>8</v>
      </c>
      <c r="U40" s="1559">
        <f t="shared" si="11"/>
        <v>100</v>
      </c>
      <c r="V40" s="1558" t="s">
        <v>8</v>
      </c>
      <c r="W40" s="1559">
        <f t="shared" si="12"/>
        <v>100</v>
      </c>
      <c r="X40" s="1552"/>
      <c r="Y40" s="342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2"/>
      <c r="Q41" s="1557">
        <f t="shared" si="14"/>
        <v>111</v>
      </c>
      <c r="R41" s="1558" t="s">
        <v>8</v>
      </c>
      <c r="S41" s="1559">
        <f t="shared" si="10"/>
        <v>100</v>
      </c>
      <c r="T41" s="1558" t="s">
        <v>8</v>
      </c>
      <c r="U41" s="1559">
        <f t="shared" si="11"/>
        <v>100</v>
      </c>
      <c r="V41" s="1558" t="s">
        <v>8</v>
      </c>
      <c r="W41" s="1559">
        <f t="shared" si="12"/>
        <v>100</v>
      </c>
      <c r="X41" s="1552"/>
      <c r="Y41" s="3422"/>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2"/>
      <c r="Q42" s="1557">
        <f t="shared" si="14"/>
        <v>111</v>
      </c>
      <c r="R42" s="1562" t="s">
        <v>8</v>
      </c>
      <c r="S42" s="1563">
        <f t="shared" si="10"/>
        <v>100</v>
      </c>
      <c r="T42" s="1562" t="s">
        <v>8</v>
      </c>
      <c r="U42" s="1563">
        <f t="shared" si="11"/>
        <v>100</v>
      </c>
      <c r="V42" s="1562" t="s">
        <v>8</v>
      </c>
      <c r="W42" s="1563">
        <f t="shared" si="12"/>
        <v>100</v>
      </c>
      <c r="X42" s="1564"/>
      <c r="Y42" s="3422"/>
      <c r="Z42" s="1565">
        <f t="shared" si="13"/>
        <v>111</v>
      </c>
      <c r="AA42" s="1561">
        <f t="shared" si="3"/>
        <v>1</v>
      </c>
      <c r="AB42" s="1561">
        <f t="shared" si="4"/>
        <v>1</v>
      </c>
      <c r="AC42" s="1561">
        <f t="shared" si="5"/>
        <v>1</v>
      </c>
    </row>
    <row r="43" spans="1:29" ht="15">
      <c r="A43" s="607" t="s">
        <v>547</v>
      </c>
      <c r="B43" s="608" t="s">
        <v>2921</v>
      </c>
      <c r="C43" s="609" t="s">
        <v>1</v>
      </c>
      <c r="D43" s="610"/>
      <c r="E43" s="611"/>
      <c r="F43" s="612"/>
      <c r="G43" s="613"/>
      <c r="H43" s="614"/>
      <c r="I43" s="611"/>
      <c r="J43" s="614"/>
      <c r="K43" s="1335"/>
      <c r="L43" s="2128"/>
      <c r="M43" s="2118"/>
      <c r="N43" s="2118"/>
      <c r="O43" s="2129"/>
      <c r="P43" s="3385" t="str">
        <f>A43</f>
        <v>成交单价</v>
      </c>
      <c r="Q43" s="3385"/>
      <c r="R43" s="3386">
        <f>E43</f>
        <v>0</v>
      </c>
      <c r="S43" s="3386"/>
      <c r="T43" s="3386">
        <f>G43</f>
        <v>0</v>
      </c>
      <c r="U43" s="3386"/>
      <c r="V43" s="3386">
        <f>I43</f>
        <v>0</v>
      </c>
      <c r="W43" s="3386"/>
      <c r="X43" s="1544"/>
      <c r="Y43" s="1566"/>
      <c r="Z43" s="1544"/>
      <c r="AA43" s="1544"/>
      <c r="AB43" s="1544"/>
      <c r="AC43" s="1544"/>
    </row>
    <row r="44" spans="1:29" ht="15.75" thickBot="1">
      <c r="A44" s="615" t="s">
        <v>2678</v>
      </c>
      <c r="B44" s="616"/>
      <c r="C44" s="617" t="e">
        <f>R45</f>
        <v>#DIV/0!</v>
      </c>
      <c r="D44" s="618"/>
      <c r="E44" s="617" t="e">
        <f>R44</f>
        <v>#DIV/0!</v>
      </c>
      <c r="F44" s="619"/>
      <c r="G44" s="620" t="e">
        <f>T44</f>
        <v>#DIV/0!</v>
      </c>
      <c r="H44" s="618"/>
      <c r="I44" s="617" t="e">
        <f>V44</f>
        <v>#DIV/0!</v>
      </c>
      <c r="J44" s="618"/>
      <c r="K44" s="1336"/>
      <c r="L44" s="2128"/>
      <c r="M44" s="2118"/>
      <c r="N44" s="2118"/>
      <c r="O44" s="2129"/>
      <c r="P44" s="3385" t="str">
        <f>A44</f>
        <v>比较价格（元/平方米）</v>
      </c>
      <c r="Q44" s="3385"/>
      <c r="R44" s="3387" t="e">
        <f>ROUND(PRODUCT(R43,AA9:AA42),0)</f>
        <v>#DIV/0!</v>
      </c>
      <c r="S44" s="3387"/>
      <c r="T44" s="3387" t="e">
        <f>ROUND(PRODUCT(T43,AB9:AB42),0)</f>
        <v>#DIV/0!</v>
      </c>
      <c r="U44" s="3387"/>
      <c r="V44" s="3387" t="e">
        <f>ROUND(PRODUCT(V43,AC9:AC42),0)</f>
        <v>#DIV/0!</v>
      </c>
      <c r="W44" s="3387"/>
      <c r="X44" s="1544"/>
      <c r="Y44" s="1544"/>
      <c r="Z44" s="1544"/>
      <c r="AA44" s="1544"/>
      <c r="AB44" s="1544"/>
      <c r="AC44" s="1544"/>
    </row>
    <row r="45" spans="1:29" ht="15.75" thickBot="1">
      <c r="A45" s="621" t="s">
        <v>2922</v>
      </c>
      <c r="B45" s="622"/>
      <c r="C45" s="623" t="e">
        <f>R45</f>
        <v>#DIV/0!</v>
      </c>
      <c r="D45" s="623"/>
      <c r="E45" s="623"/>
      <c r="F45" s="623"/>
      <c r="G45" s="623"/>
      <c r="H45" s="623"/>
      <c r="I45" s="623"/>
      <c r="J45" s="623"/>
      <c r="K45" s="1337"/>
      <c r="L45" s="2128"/>
      <c r="M45" s="2118"/>
      <c r="N45" s="2118"/>
      <c r="O45" s="2129"/>
      <c r="P45" s="3382" t="str">
        <f>A45</f>
        <v>估价对象XX用房的比较价格（楼面单价，元/平方米）</v>
      </c>
      <c r="Q45" s="3383"/>
      <c r="R45" s="3384" t="e">
        <f>ROUND(AVERAGE(R44:V44),0)</f>
        <v>#DIV/0!</v>
      </c>
      <c r="S45" s="3384"/>
      <c r="T45" s="3384"/>
      <c r="U45" s="3384"/>
      <c r="V45" s="3384"/>
      <c r="W45" s="338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548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549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551</v>
      </c>
      <c r="B52" s="630" t="s">
        <v>552</v>
      </c>
      <c r="C52" s="1545" t="s">
        <v>1713</v>
      </c>
      <c r="D52" s="2211" t="s">
        <v>2279</v>
      </c>
      <c r="E52" s="631" t="s">
        <v>553</v>
      </c>
      <c r="F52" s="1935" t="s">
        <v>554</v>
      </c>
      <c r="G52" s="3429" t="s">
        <v>2270</v>
      </c>
      <c r="H52" s="3430"/>
      <c r="I52" s="1936" t="s">
        <v>1932</v>
      </c>
      <c r="J52" s="1540">
        <f>项目基本情况!F41</f>
        <v>0</v>
      </c>
      <c r="K52" s="2138" t="s">
        <v>1712</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555</v>
      </c>
      <c r="B53" s="634" t="e">
        <f>C45</f>
        <v>#DIV/0!</v>
      </c>
      <c r="C53" s="635">
        <v>1</v>
      </c>
      <c r="D53" s="2212">
        <v>1</v>
      </c>
      <c r="E53" s="635">
        <f>'数据-汇总表'!E8+'数据-汇总表'!E9</f>
        <v>169127.44</v>
      </c>
      <c r="F53" s="1934" t="e">
        <f t="shared" ref="F53:F62" si="15">ROUND(B53*E53/10000,0)</f>
        <v>#DIV/0!</v>
      </c>
      <c r="G53" s="3431"/>
      <c r="H53" s="343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556</v>
      </c>
      <c r="B54" s="638" t="e">
        <f>ROUND($C$45*C54*D54,0)</f>
        <v>#DIV/0!</v>
      </c>
      <c r="C54" s="378">
        <f t="shared" ref="C54:C62" si="16">IF($C$52="北京市系数",I54,J54)</f>
        <v>0</v>
      </c>
      <c r="D54" s="2213">
        <v>0.25</v>
      </c>
      <c r="E54" s="639"/>
      <c r="F54" s="1934" t="e">
        <f t="shared" si="15"/>
        <v>#DIV/0!</v>
      </c>
      <c r="G54" s="3433" t="s">
        <v>2271</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557</v>
      </c>
      <c r="B55" s="638" t="e">
        <f t="shared" ref="B55:B62" si="17">ROUND($C$45*C55*D55,0)</f>
        <v>#DIV/0!</v>
      </c>
      <c r="C55" s="378">
        <f t="shared" si="16"/>
        <v>0</v>
      </c>
      <c r="D55" s="2213">
        <v>0.25</v>
      </c>
      <c r="E55" s="639"/>
      <c r="F55" s="1934" t="e">
        <f t="shared" si="15"/>
        <v>#DIV/0!</v>
      </c>
      <c r="G55" s="343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558</v>
      </c>
      <c r="B56" s="638" t="e">
        <f t="shared" si="17"/>
        <v>#DIV/0!</v>
      </c>
      <c r="C56" s="378">
        <f t="shared" si="16"/>
        <v>0</v>
      </c>
      <c r="D56" s="2213">
        <v>0.25</v>
      </c>
      <c r="E56" s="639"/>
      <c r="F56" s="1934" t="e">
        <f t="shared" si="15"/>
        <v>#DIV/0!</v>
      </c>
      <c r="G56" s="343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559</v>
      </c>
      <c r="B57" s="638" t="e">
        <f t="shared" si="17"/>
        <v>#DIV/0!</v>
      </c>
      <c r="C57" s="378">
        <f t="shared" si="16"/>
        <v>0</v>
      </c>
      <c r="D57" s="2213">
        <v>0.25</v>
      </c>
      <c r="E57" s="639"/>
      <c r="F57" s="1934" t="e">
        <f t="shared" si="15"/>
        <v>#DIV/0!</v>
      </c>
      <c r="G57" s="343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2314</v>
      </c>
      <c r="B58" s="638" t="e">
        <f t="shared" si="17"/>
        <v>#DIV/0!</v>
      </c>
      <c r="C58" s="378">
        <f t="shared" si="16"/>
        <v>0</v>
      </c>
      <c r="D58" s="2213">
        <v>0.25</v>
      </c>
      <c r="E58" s="641">
        <f>'数据-汇总表'!E11</f>
        <v>0</v>
      </c>
      <c r="F58" s="1934" t="e">
        <f t="shared" si="15"/>
        <v>#DIV/0!</v>
      </c>
      <c r="G58" s="1940" t="s">
        <v>2272</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560</v>
      </c>
      <c r="B59" s="638" t="e">
        <f t="shared" si="17"/>
        <v>#DIV/0!</v>
      </c>
      <c r="C59" s="378">
        <f t="shared" si="16"/>
        <v>0</v>
      </c>
      <c r="D59" s="2213">
        <v>0.25</v>
      </c>
      <c r="E59" s="641">
        <f>'数据-汇总表'!E12</f>
        <v>0</v>
      </c>
      <c r="F59" s="1934" t="e">
        <f t="shared" si="15"/>
        <v>#DIV/0!</v>
      </c>
      <c r="G59" s="1930" t="s">
        <v>1666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561</v>
      </c>
      <c r="B60" s="638" t="e">
        <f t="shared" si="17"/>
        <v>#DIV/0!</v>
      </c>
      <c r="C60" s="378">
        <f t="shared" si="16"/>
        <v>0</v>
      </c>
      <c r="D60" s="2213">
        <v>0.25</v>
      </c>
      <c r="E60" s="641">
        <f>'数据-汇总表'!E13</f>
        <v>38387.129999999997</v>
      </c>
      <c r="F60" s="1934" t="e">
        <f t="shared" si="15"/>
        <v>#DIV/0!</v>
      </c>
      <c r="G60" s="1930" t="s">
        <v>912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562</v>
      </c>
      <c r="B61" s="638" t="e">
        <f t="shared" si="17"/>
        <v>#DIV/0!</v>
      </c>
      <c r="C61" s="378">
        <f t="shared" si="16"/>
        <v>0</v>
      </c>
      <c r="D61" s="2213">
        <v>0.25</v>
      </c>
      <c r="E61" s="641">
        <f>'数据-汇总表'!E14</f>
        <v>0</v>
      </c>
      <c r="F61" s="1934" t="e">
        <f t="shared" si="15"/>
        <v>#DIV/0!</v>
      </c>
      <c r="G61" s="1940" t="s">
        <v>2271</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563</v>
      </c>
      <c r="B62" s="638" t="e">
        <f t="shared" si="17"/>
        <v>#DIV/0!</v>
      </c>
      <c r="C62" s="378">
        <f t="shared" si="16"/>
        <v>0</v>
      </c>
      <c r="D62" s="2213">
        <v>0.25</v>
      </c>
      <c r="E62" s="641">
        <f>'数据-汇总表'!E15</f>
        <v>0</v>
      </c>
      <c r="F62" s="1934" t="e">
        <f t="shared" si="15"/>
        <v>#DIV/0!</v>
      </c>
      <c r="G62" s="1941" t="s">
        <v>2272</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564</v>
      </c>
      <c r="B63" s="643" t="s">
        <v>17</v>
      </c>
      <c r="C63" s="643" t="s">
        <v>18</v>
      </c>
      <c r="D63" s="643" t="s">
        <v>2280</v>
      </c>
      <c r="E63" s="643">
        <f>IF(B43="楼面地价",SUM(E53:E62),'数据-汇总表'!D3)</f>
        <v>86744.76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565</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2519</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2634</v>
      </c>
      <c r="B68" s="479" t="str">
        <f>"北京市平均增长率"&amp;TEXT(基准地价!P24,"0.00%")</f>
        <v>北京市平均增长率1.31%</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566</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522</v>
      </c>
      <c r="B70" s="648"/>
      <c r="C70" s="660" t="s">
        <v>567</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568</v>
      </c>
      <c r="B72" s="665" t="s">
        <v>525</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528</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529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530</v>
      </c>
      <c r="B85" s="665" t="s">
        <v>593</v>
      </c>
      <c r="C85" s="703" t="s">
        <v>570</v>
      </c>
      <c r="D85" s="703" t="s">
        <v>571</v>
      </c>
      <c r="E85" s="703" t="s">
        <v>572</v>
      </c>
      <c r="F85" s="703" t="s">
        <v>573</v>
      </c>
      <c r="G85" s="703" t="s">
        <v>574</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577</v>
      </c>
      <c r="C87" s="708" t="s">
        <v>570</v>
      </c>
      <c r="D87" s="708" t="s">
        <v>571</v>
      </c>
      <c r="E87" s="708" t="s">
        <v>572</v>
      </c>
      <c r="F87" s="708" t="s">
        <v>573</v>
      </c>
      <c r="G87" s="708" t="s">
        <v>574</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578</v>
      </c>
      <c r="C89" s="708" t="s">
        <v>570</v>
      </c>
      <c r="D89" s="708" t="s">
        <v>571</v>
      </c>
      <c r="E89" s="708" t="s">
        <v>572</v>
      </c>
      <c r="F89" s="708" t="s">
        <v>573</v>
      </c>
      <c r="G89" s="708" t="s">
        <v>574</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579</v>
      </c>
      <c r="C91" s="703" t="s">
        <v>570</v>
      </c>
      <c r="D91" s="703" t="s">
        <v>571</v>
      </c>
      <c r="E91" s="703" t="s">
        <v>572</v>
      </c>
      <c r="F91" s="703" t="s">
        <v>573</v>
      </c>
      <c r="G91" s="703" t="s">
        <v>574</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2534</v>
      </c>
      <c r="C93" s="703" t="s">
        <v>570</v>
      </c>
      <c r="D93" s="703" t="s">
        <v>571</v>
      </c>
      <c r="E93" s="703" t="s">
        <v>572</v>
      </c>
      <c r="F93" s="703" t="s">
        <v>573</v>
      </c>
      <c r="G93" s="703" t="s">
        <v>574</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2536</v>
      </c>
      <c r="C95" s="2561" t="s">
        <v>2537</v>
      </c>
      <c r="D95" s="2561" t="s">
        <v>2538</v>
      </c>
      <c r="E95" s="2561" t="s">
        <v>2539</v>
      </c>
      <c r="F95" s="2561" t="s">
        <v>2540</v>
      </c>
      <c r="G95" s="2561" t="s">
        <v>2541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580</v>
      </c>
      <c r="D97" s="674" t="s">
        <v>581</v>
      </c>
      <c r="E97" s="674" t="s">
        <v>582</v>
      </c>
      <c r="F97" s="674" t="s">
        <v>583</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539</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540</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542</v>
      </c>
      <c r="B109" s="665" t="s">
        <v>584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585</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2411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587</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1683</v>
      </c>
      <c r="B1" s="1395"/>
      <c r="C1" s="1401" t="s">
        <v>2412</v>
      </c>
      <c r="D1" s="1507">
        <f>SUM(D29:D30,D33:D39)</f>
        <v>0</v>
      </c>
      <c r="E1" s="1401" t="s">
        <v>2413</v>
      </c>
      <c r="F1" s="2415"/>
      <c r="G1" s="1396"/>
      <c r="H1" s="1396"/>
      <c r="I1" s="1396"/>
      <c r="J1" s="1396"/>
      <c r="K1" s="1396"/>
      <c r="L1" s="1866" t="s">
        <v>2225</v>
      </c>
      <c r="M1" s="1867">
        <f>SUMPRODUCT((区片价!B5:B9=I2)*(区片价!C3:F3=E2)*(区片价!C5:F9))</f>
        <v>0</v>
      </c>
      <c r="N1" s="1868">
        <f>SUMPRODUCT((因素修正幅度!B5:B9=I2)*(因素修正幅度!C3:F3=E2)*(因素修正幅度!C5:F9))</f>
        <v>0</v>
      </c>
      <c r="O1" s="1396"/>
      <c r="P1" s="1396"/>
      <c r="Q1" s="2173"/>
      <c r="R1" s="2890" t="s">
        <v>2747</v>
      </c>
      <c r="S1" s="2890" t="s">
        <v>2748</v>
      </c>
      <c r="T1" s="2890" t="s">
        <v>2769</v>
      </c>
      <c r="U1" s="2890" t="s">
        <v>2770</v>
      </c>
      <c r="V1" s="2890" t="s">
        <v>2771</v>
      </c>
      <c r="W1" s="2173"/>
      <c r="X1" s="2173"/>
      <c r="Y1" s="2173"/>
      <c r="Z1" s="2173"/>
      <c r="AA1" s="2173"/>
      <c r="AB1" s="2173"/>
      <c r="AC1" s="2174"/>
    </row>
    <row r="2" spans="1:39" ht="15.75">
      <c r="A2" s="1401" t="s">
        <v>909</v>
      </c>
      <c r="B2" s="1037" t="e">
        <f>C26</f>
        <v>#DIV/0!</v>
      </c>
      <c r="C2" s="1402" t="s">
        <v>910</v>
      </c>
      <c r="D2" s="1403" t="s">
        <v>911</v>
      </c>
      <c r="E2" s="1404"/>
      <c r="F2" s="1403" t="s">
        <v>913</v>
      </c>
      <c r="G2" s="1636">
        <f>IF(E2="商业",项目基本情况!B43,IF(E2="办公",项目基本情况!C43,IF(E2="住宅",项目基本情况!D43,项目基本情况!E43)))</f>
        <v>0</v>
      </c>
      <c r="H2" s="1403" t="s">
        <v>915</v>
      </c>
      <c r="I2" s="1637">
        <f>IF(E2="商业",项目基本情况!B44,IF(E2="办公",项目基本情况!C44,IF(E2="住宅",项目基本情况!D44,项目基本情况!E44)))</f>
        <v>0</v>
      </c>
      <c r="J2" s="1405"/>
      <c r="K2" s="1405"/>
      <c r="L2" s="1869" t="s">
        <v>2226</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1676</v>
      </c>
      <c r="B3" s="1037" t="e">
        <f>ROUND(B2*10000/D1,0)</f>
        <v>#DIV/0!</v>
      </c>
      <c r="C3" s="1402" t="s">
        <v>916</v>
      </c>
      <c r="D3" s="1403" t="s">
        <v>917</v>
      </c>
      <c r="E3" s="1407"/>
      <c r="F3" s="1408"/>
      <c r="G3" s="1038">
        <f>IF(F3="宗地容积率",'数据-汇总表'!I4,IF(F3="估价对象容积率",'数据-汇总表'!I6,'数据-汇总表'!I7))</f>
        <v>0</v>
      </c>
      <c r="H3" s="1409" t="s">
        <v>918</v>
      </c>
      <c r="I3" s="1039">
        <v>8</v>
      </c>
      <c r="J3" s="1405" t="s">
        <v>919</v>
      </c>
      <c r="K3" s="1405"/>
      <c r="L3" s="1869" t="s">
        <v>2227</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2266</v>
      </c>
      <c r="B4" s="2416" t="e">
        <f>ROUND(B2*10000/F1,0)</f>
        <v>#DIV/0!</v>
      </c>
      <c r="C4" s="1878" t="s">
        <v>2241</v>
      </c>
      <c r="D4" s="1878" t="e">
        <f>ROUND(B2/(F1/666.67),0)</f>
        <v>#DIV/0!</v>
      </c>
      <c r="E4" s="1878" t="s">
        <v>2242</v>
      </c>
      <c r="F4" s="1876"/>
      <c r="G4" s="1876"/>
      <c r="H4" s="1876"/>
      <c r="I4" s="1876"/>
      <c r="J4" s="1877"/>
      <c r="K4" s="3141"/>
      <c r="L4" s="1869" t="s">
        <v>2228</v>
      </c>
      <c r="M4" s="1870">
        <f>SUMPRODUCT((区片价!B49:B75=I2)*(区片价!C3:F3=E2)*(区片价!C49:F75))</f>
        <v>0</v>
      </c>
      <c r="N4" s="1871">
        <f>SUMPRODUCT((因素修正幅度!B49:B75=I2)*(因素修正幅度!C3:F3=E2)*(因素修正幅度!C49:F75))</f>
        <v>0</v>
      </c>
      <c r="O4" s="314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1812</v>
      </c>
      <c r="B5" s="1410" t="s">
        <v>920</v>
      </c>
      <c r="C5" s="1040" t="e">
        <f>ROUND(IF(E2="商业",C6*C7+C16,(IF(E2="住宅",C6*C12+C16,C6+C16))),0)</f>
        <v>#DIV/0!</v>
      </c>
      <c r="D5" s="3065" t="e">
        <f>ROUND(C6+C16,0)</f>
        <v>#DIV/0!</v>
      </c>
      <c r="E5" s="3065"/>
      <c r="F5" s="1411"/>
      <c r="G5" s="1412"/>
      <c r="H5" s="1412"/>
      <c r="I5" s="1412"/>
      <c r="J5" s="1413"/>
      <c r="K5" s="3142"/>
      <c r="L5" s="1869" t="s">
        <v>2229</v>
      </c>
      <c r="M5" s="1870">
        <f>SUMPRODUCT((区片价!B76:B109=I2)*(区片价!C3:F3=E2)*(区片价!C76:F109))</f>
        <v>0</v>
      </c>
      <c r="N5" s="1871">
        <f>SUMPRODUCT((因素修正幅度!B76:B109=I2)*(因素修正幅度!C3:F3=E2)*(因素修正幅度!C76:F109))</f>
        <v>0</v>
      </c>
      <c r="O5" s="314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1859</v>
      </c>
      <c r="B6" s="1417" t="s">
        <v>920</v>
      </c>
      <c r="C6" s="1041">
        <f>SUMIF(L1:L12,基准地价!G2,M1:M12)</f>
        <v>0</v>
      </c>
      <c r="D6" s="1418" t="s">
        <v>1684</v>
      </c>
      <c r="E6" s="1419"/>
      <c r="F6" s="1419"/>
      <c r="G6" s="1420"/>
      <c r="H6" s="1420"/>
      <c r="I6" s="1420"/>
      <c r="J6" s="1421"/>
      <c r="K6" s="1451"/>
      <c r="L6" s="1869" t="s">
        <v>2230</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5" t="str">
        <f>IF(E2="商业",IF(C8="不临58条商业街","",2),"")</f>
        <v/>
      </c>
      <c r="B7" s="1422" t="s">
        <v>921</v>
      </c>
      <c r="C7" s="1042" t="e">
        <f>IF(C8="不临58条商业街",1,ROUND(1+(1.6*E8+1.2*E9+0.8*E10+0.4*E11)*C9,4))</f>
        <v>#DIV/0!</v>
      </c>
      <c r="D7" s="1423" t="s">
        <v>922</v>
      </c>
      <c r="E7" s="1043"/>
      <c r="F7" s="1424"/>
      <c r="G7" s="1425"/>
      <c r="H7" s="1425"/>
      <c r="I7" s="1425"/>
      <c r="J7" s="1426"/>
      <c r="K7" s="1451"/>
      <c r="L7" s="1869" t="s">
        <v>2231</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2750</v>
      </c>
      <c r="X7" s="2881">
        <f>G2</f>
        <v>0</v>
      </c>
      <c r="Y7" s="2881" t="s">
        <v>2751</v>
      </c>
      <c r="Z7" s="2882">
        <f>G3</f>
        <v>0</v>
      </c>
      <c r="AA7" s="2176"/>
      <c r="AB7" s="2176"/>
      <c r="AC7" s="2177"/>
      <c r="AD7" s="2883"/>
      <c r="AE7" s="2883"/>
      <c r="AF7" s="2883"/>
      <c r="AG7" s="2883"/>
      <c r="AH7" s="2883"/>
      <c r="AI7" s="2883"/>
      <c r="AJ7" s="2884"/>
    </row>
    <row r="8" spans="1:39" ht="15">
      <c r="A8" s="3446"/>
      <c r="B8" s="1409" t="s">
        <v>923</v>
      </c>
      <c r="C8" s="1515"/>
      <c r="D8" s="1044" t="s">
        <v>924</v>
      </c>
      <c r="E8" s="1045" t="e">
        <f>ROUND(C11/E7,4)</f>
        <v>#DIV/0!</v>
      </c>
      <c r="F8" s="1427" t="s">
        <v>925</v>
      </c>
      <c r="G8" s="1428"/>
      <c r="H8" s="1428"/>
      <c r="I8" s="1428"/>
      <c r="J8" s="1429"/>
      <c r="K8" s="1451"/>
      <c r="L8" s="1869" t="s">
        <v>2232</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5" t="s">
        <v>2768</v>
      </c>
      <c r="X8" s="3436"/>
      <c r="Y8" s="1833" t="s">
        <v>2752</v>
      </c>
      <c r="Z8" s="1833" t="s">
        <v>2753</v>
      </c>
      <c r="AA8" s="1833" t="s">
        <v>2754</v>
      </c>
      <c r="AB8" s="1833" t="s">
        <v>2755</v>
      </c>
      <c r="AC8" s="1833" t="s">
        <v>2756</v>
      </c>
      <c r="AD8" s="1833" t="s">
        <v>2757</v>
      </c>
      <c r="AE8" s="1833" t="s">
        <v>2758</v>
      </c>
      <c r="AF8" s="1833" t="s">
        <v>2759</v>
      </c>
      <c r="AG8" s="1833" t="s">
        <v>2760</v>
      </c>
      <c r="AH8" s="1833" t="s">
        <v>2761</v>
      </c>
      <c r="AI8" s="1833" t="s">
        <v>2762</v>
      </c>
      <c r="AJ8" s="1833" t="s">
        <v>2763</v>
      </c>
    </row>
    <row r="9" spans="1:39" ht="15">
      <c r="A9" s="3446"/>
      <c r="B9" s="1409" t="s">
        <v>926</v>
      </c>
      <c r="C9" s="1046">
        <f>SUMIF(修正!C59:C119,C8,修正!E59:E119)</f>
        <v>0</v>
      </c>
      <c r="D9" s="1047" t="s">
        <v>927</v>
      </c>
      <c r="E9" s="1047" t="e">
        <f>ROUND(C11/E7,4)</f>
        <v>#DIV/0!</v>
      </c>
      <c r="F9" s="1427" t="s">
        <v>928</v>
      </c>
      <c r="G9" s="1428"/>
      <c r="H9" s="1428"/>
      <c r="I9" s="1428"/>
      <c r="J9" s="1429"/>
      <c r="K9" s="1451"/>
      <c r="L9" s="1869" t="s">
        <v>2233</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4" t="s">
        <v>2764</v>
      </c>
      <c r="X9" s="2885" t="s">
        <v>2765</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6"/>
      <c r="B10" s="1409" t="s">
        <v>929</v>
      </c>
      <c r="C10" s="1047">
        <f>SUMIF(修正!C59:C119,C8,修正!F59:F119)</f>
        <v>0</v>
      </c>
      <c r="D10" s="1047" t="s">
        <v>930</v>
      </c>
      <c r="E10" s="1047" t="e">
        <f>ROUND(C11/E7,4)</f>
        <v>#DIV/0!</v>
      </c>
      <c r="F10" s="1427" t="s">
        <v>931</v>
      </c>
      <c r="G10" s="1428"/>
      <c r="H10" s="1428"/>
      <c r="I10" s="1428"/>
      <c r="J10" s="1429"/>
      <c r="K10" s="1451"/>
      <c r="L10" s="1869" t="s">
        <v>2234</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6"/>
      <c r="B11" s="1430" t="s">
        <v>932</v>
      </c>
      <c r="C11" s="1048">
        <f>C10/4</f>
        <v>0</v>
      </c>
      <c r="D11" s="1048" t="s">
        <v>933</v>
      </c>
      <c r="E11" s="1048" t="e">
        <f>ROUND(C11/E7,4)</f>
        <v>#DIV/0!</v>
      </c>
      <c r="F11" s="1431" t="s">
        <v>934</v>
      </c>
      <c r="G11" s="1432"/>
      <c r="H11" s="1432"/>
      <c r="I11" s="1432"/>
      <c r="J11" s="1433"/>
      <c r="K11" s="1451"/>
      <c r="L11" s="1869" t="s">
        <v>2235</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4" t="s">
        <v>2766</v>
      </c>
      <c r="X11" s="1047" t="s">
        <v>2751</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45" t="s">
        <v>1860</v>
      </c>
      <c r="B12" s="1434" t="s">
        <v>935</v>
      </c>
      <c r="C12" s="1042">
        <f>ROUND(C15*D15*E15*F15*G15*H15*I15*J15,4)</f>
        <v>1</v>
      </c>
      <c r="D12" s="1435" t="s">
        <v>936</v>
      </c>
      <c r="E12" s="1436"/>
      <c r="F12" s="1436"/>
      <c r="G12" s="1437"/>
      <c r="H12" s="1437"/>
      <c r="I12" s="1437"/>
      <c r="J12" s="1438"/>
      <c r="K12" s="1451"/>
      <c r="L12" s="1872" t="s">
        <v>2236</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4"/>
      <c r="X12" s="2888" t="s">
        <v>2767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7"/>
      <c r="B13" s="1439" t="s">
        <v>1685</v>
      </c>
      <c r="C13" s="1440" t="s">
        <v>1686</v>
      </c>
      <c r="D13" s="1084" t="s">
        <v>1687</v>
      </c>
      <c r="E13" s="1084" t="s">
        <v>1688</v>
      </c>
      <c r="F13" s="1441" t="s">
        <v>937</v>
      </c>
      <c r="G13" s="1442" t="s">
        <v>1631</v>
      </c>
      <c r="H13" s="1443" t="s">
        <v>1631</v>
      </c>
      <c r="I13" s="1444" t="s">
        <v>1631</v>
      </c>
      <c r="J13" s="1445" t="s">
        <v>1631</v>
      </c>
      <c r="K13" s="3157"/>
      <c r="L13" s="3157"/>
      <c r="M13" s="3157"/>
      <c r="N13" s="3157"/>
      <c r="O13" s="3157"/>
      <c r="P13" s="1396"/>
      <c r="Q13" s="2173"/>
      <c r="R13" s="2891">
        <v>12</v>
      </c>
      <c r="S13" s="2880"/>
      <c r="T13" s="2891" t="e">
        <f t="shared" si="0"/>
        <v>#DIV/0!</v>
      </c>
      <c r="U13" s="2880"/>
      <c r="V13" s="2891" t="e">
        <f t="shared" si="1"/>
        <v>#DIV/0!</v>
      </c>
      <c r="W13" s="3434"/>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7"/>
      <c r="B14" s="1446"/>
      <c r="C14" s="1447"/>
      <c r="D14" s="1448"/>
      <c r="E14" s="1448"/>
      <c r="F14" s="1449"/>
      <c r="G14" s="1450" t="s">
        <v>938</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8"/>
      <c r="B15" s="3162" t="s">
        <v>1689</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5" t="s">
        <v>1827</v>
      </c>
      <c r="B16" s="1422" t="s">
        <v>939</v>
      </c>
      <c r="C16" s="1051" t="e">
        <f>ROUND(IF(F17="与级别开发程度一致",0,(G17-E17)/C17),0)</f>
        <v>#DIV/0!</v>
      </c>
      <c r="D16" s="3442" t="s">
        <v>943</v>
      </c>
      <c r="E16" s="3443"/>
      <c r="F16" s="3442" t="s">
        <v>940</v>
      </c>
      <c r="G16" s="3443"/>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9"/>
      <c r="B17" s="3168" t="s">
        <v>942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1818</v>
      </c>
      <c r="B18" s="3163" t="s">
        <v>944</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1824</v>
      </c>
      <c r="B19" s="1457" t="s">
        <v>945</v>
      </c>
      <c r="C19" s="1052">
        <f>ROUND(IF(H19="按公示增长率计算",SUMPRODUCT((地价!A3:A30=YEAR(G19)&amp;"-"&amp;ROUNDUP(MONTH(G19)/3,0))*(地价!X2:AB2=E2)*(地价!X3:AB30)),IF(H19="地价指数",M20/M19,(1+I19)^O19)),4)</f>
        <v>0</v>
      </c>
      <c r="D19" s="1461" t="s">
        <v>946</v>
      </c>
      <c r="E19" s="1053">
        <v>41640</v>
      </c>
      <c r="F19" s="1461" t="s">
        <v>947</v>
      </c>
      <c r="G19" s="1054">
        <f>'数据-取费表'!B2</f>
        <v>43998</v>
      </c>
      <c r="H19" s="1462" t="s">
        <v>2977</v>
      </c>
      <c r="I19" s="2739" t="str">
        <f>IF(H19="季度增幅（自定义）",SUMIF(N21:N24,E2,O21:O24),"")</f>
        <v/>
      </c>
      <c r="J19" s="1458"/>
      <c r="K19" s="3142"/>
      <c r="L19" s="2991" t="s">
        <v>2826</v>
      </c>
      <c r="M19" s="2992">
        <f>ROUND(SUMIF(地价!B2:F2,E2,地价!B30:F30),0)</f>
        <v>0</v>
      </c>
      <c r="N19" s="2741" t="s">
        <v>1665</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1825</v>
      </c>
      <c r="B20" s="2734" t="s">
        <v>960</v>
      </c>
      <c r="C20" s="2735" t="e">
        <f>ROUND(POWER(1+G20,J20-I20)*(POWER(1+G20,I20)-1)/(POWER(1+G20,J20)-1),4)</f>
        <v>#DIV/0!</v>
      </c>
      <c r="D20" s="2736" t="s">
        <v>961</v>
      </c>
      <c r="E20" s="3040">
        <f ca="1">存贷款利率!I4/100</f>
        <v>4.3499999999999997E-2</v>
      </c>
      <c r="F20" s="2736" t="s">
        <v>962</v>
      </c>
      <c r="G20" s="2737">
        <f>SUMIF(M26:P26,E2,M28:P28)</f>
        <v>0</v>
      </c>
      <c r="H20" s="2736" t="s">
        <v>963</v>
      </c>
      <c r="I20" s="2732" t="e">
        <f>SUMIF('数据-取费表'!C6:C15,E2,'数据-取费表'!F6:F15)/COUNTIF('数据-取费表'!C6:C15,E2)</f>
        <v>#DIV/0!</v>
      </c>
      <c r="J20" s="2738">
        <f>IF(E2="住宅",70,IF(E2="商业",40,50))</f>
        <v>50</v>
      </c>
      <c r="K20" s="3144"/>
      <c r="L20" s="2993" t="s">
        <v>2827</v>
      </c>
      <c r="M20" s="3151">
        <f>ROUND(SUMPRODUCT((地价!A4:A30=YEAR(G19)&amp;"-"&amp;ROUNDUP(MONTH(G19)/3,0))*(地价!B2:F2=E2)*(地价!B4:F30)),0)</f>
        <v>0</v>
      </c>
      <c r="N20" s="2744" t="s">
        <v>2630</v>
      </c>
      <c r="O20" s="2742" t="s">
        <v>2629</v>
      </c>
      <c r="P20" s="2743" t="s">
        <v>2635</v>
      </c>
      <c r="Q20" s="2879"/>
      <c r="R20" s="2179"/>
      <c r="S20" s="2179"/>
      <c r="T20" s="2179"/>
      <c r="U20" s="2179"/>
      <c r="V20" s="2179"/>
      <c r="W20" s="2179"/>
      <c r="X20" s="2179"/>
      <c r="Y20" s="1459"/>
      <c r="Z20" s="1459"/>
      <c r="AA20" s="1459"/>
      <c r="AB20" s="1459"/>
      <c r="AC20" s="1459"/>
      <c r="AD20" s="1459"/>
    </row>
    <row r="21" spans="1:40" s="1416" customFormat="1" ht="14.25">
      <c r="A21" s="1626" t="s">
        <v>1826</v>
      </c>
      <c r="B21" s="1467" t="s">
        <v>2746</v>
      </c>
      <c r="C21" s="1153">
        <f>IF(B21="容积率修正",IF(G3&lt;=10,D22,J22),C23)</f>
        <v>0</v>
      </c>
      <c r="D21" s="1468"/>
      <c r="E21" s="1468"/>
      <c r="F21" s="1468"/>
      <c r="G21" s="1468"/>
      <c r="H21" s="1468"/>
      <c r="I21" s="1468"/>
      <c r="J21" s="1469"/>
      <c r="K21" s="3142"/>
      <c r="L21" s="1468"/>
      <c r="M21" s="1468"/>
      <c r="N21" s="1465" t="s">
        <v>964</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1859</v>
      </c>
      <c r="B22" s="1470" t="s">
        <v>965</v>
      </c>
      <c r="C22" s="1055" t="s">
        <v>1691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966</v>
      </c>
      <c r="J22" s="1055" t="str">
        <f>IF(G3&gt;10,D113,"——")</f>
        <v>——</v>
      </c>
      <c r="K22" s="3145"/>
      <c r="L22" s="1468"/>
      <c r="M22" s="1468"/>
      <c r="N22" s="1465" t="s">
        <v>967</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1860</v>
      </c>
      <c r="B23" s="1470" t="s">
        <v>968</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912</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1861</v>
      </c>
      <c r="B24" s="1410" t="s">
        <v>969</v>
      </c>
      <c r="C24" s="1057">
        <f>SUMIF(A44:A87,E2,B44:B87)</f>
        <v>0</v>
      </c>
      <c r="D24" s="1521"/>
      <c r="E24" s="1522"/>
      <c r="F24" s="1522"/>
      <c r="G24" s="1522"/>
      <c r="H24" s="1522"/>
      <c r="I24" s="1522"/>
      <c r="J24" s="1522"/>
      <c r="K24" s="3146"/>
      <c r="L24" s="1468"/>
      <c r="M24" s="1468"/>
      <c r="N24" s="1465" t="s">
        <v>970</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1862</v>
      </c>
      <c r="B25" s="1472" t="s">
        <v>971</v>
      </c>
      <c r="C25" s="1473"/>
      <c r="D25" s="1425"/>
      <c r="E25" s="1425"/>
      <c r="F25" s="1474"/>
      <c r="G25" s="1425"/>
      <c r="H25" s="1425"/>
      <c r="I25" s="1425"/>
      <c r="J25" s="1426"/>
      <c r="K25" s="1451"/>
      <c r="L25" s="2179"/>
      <c r="M25" s="2179"/>
      <c r="N25" s="3152" t="s">
        <v>2633</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975</v>
      </c>
      <c r="C26" s="1058" t="e">
        <f>E29+SUM(E33:E39)</f>
        <v>#DIV/0!</v>
      </c>
      <c r="D26" s="1476"/>
      <c r="E26" s="1451"/>
      <c r="F26" s="1477"/>
      <c r="G26" s="1451"/>
      <c r="H26" s="1451"/>
      <c r="I26" s="1451"/>
      <c r="J26" s="1478"/>
      <c r="K26" s="1451"/>
      <c r="L26" s="1582" t="s">
        <v>887</v>
      </c>
      <c r="M26" s="1423" t="s">
        <v>972</v>
      </c>
      <c r="N26" s="1423" t="s">
        <v>973</v>
      </c>
      <c r="O26" s="1423" t="s">
        <v>891</v>
      </c>
      <c r="P26" s="1463" t="s">
        <v>974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977</v>
      </c>
      <c r="C27" s="1059" t="e">
        <f>E30+SUM(I33:I39)</f>
        <v>#DIV/0!</v>
      </c>
      <c r="D27" s="1480"/>
      <c r="E27" s="1481"/>
      <c r="F27" s="1482"/>
      <c r="G27" s="1481"/>
      <c r="H27" s="1481"/>
      <c r="I27" s="1481"/>
      <c r="J27" s="1483"/>
      <c r="K27" s="1451"/>
      <c r="L27" s="1455" t="s">
        <v>976</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978</v>
      </c>
      <c r="C28" s="1485" t="s">
        <v>979</v>
      </c>
      <c r="D28" s="1485" t="s">
        <v>980</v>
      </c>
      <c r="E28" s="1486" t="s">
        <v>981</v>
      </c>
      <c r="F28" s="1487"/>
      <c r="G28" s="1437"/>
      <c r="H28" s="1437"/>
      <c r="I28" s="1437"/>
      <c r="J28" s="1438"/>
      <c r="K28" s="1451"/>
      <c r="L28" s="1456" t="s">
        <v>962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982</v>
      </c>
      <c r="C29" s="1058" t="e">
        <f>ROUND(C5*C18*C19*C20*C21*C24,0)</f>
        <v>#DIV/0!</v>
      </c>
      <c r="D29" s="1490"/>
      <c r="E29" s="1833" t="e">
        <f>ROUND(C29*D29/10000,0)</f>
        <v>#DIV/0!</v>
      </c>
      <c r="F29" s="1491" t="s">
        <v>1690</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983</v>
      </c>
      <c r="C30" s="1050" t="e">
        <f>ROUND(IF(E2="工业",C29*M39,C29*M38),0)</f>
        <v>#DIV/0!</v>
      </c>
      <c r="D30" s="1496"/>
      <c r="E30" s="1833" t="e">
        <f>ROUND(C30*D30/10000,0)</f>
        <v>#DIV/0!</v>
      </c>
      <c r="F30" s="1497" t="s">
        <v>984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985</v>
      </c>
      <c r="C31" s="1502" t="s">
        <v>986</v>
      </c>
      <c r="D31" s="1437"/>
      <c r="E31" s="1502"/>
      <c r="F31" s="1502"/>
      <c r="G31" s="1435" t="s">
        <v>984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979</v>
      </c>
      <c r="D32" s="1506" t="s">
        <v>980</v>
      </c>
      <c r="E32" s="1506" t="s">
        <v>981</v>
      </c>
      <c r="F32" s="1507" t="s">
        <v>987</v>
      </c>
      <c r="G32" s="1466" t="s">
        <v>979</v>
      </c>
      <c r="H32" s="1466" t="s">
        <v>980</v>
      </c>
      <c r="I32" s="1466" t="s">
        <v>981</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2" t="s">
        <v>2947</v>
      </c>
      <c r="B33" s="1510" t="s">
        <v>988</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3"/>
      <c r="B34" s="1440" t="s">
        <v>989</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3"/>
      <c r="B35" s="1440" t="s">
        <v>990</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4"/>
      <c r="B36" s="1440" t="s">
        <v>991</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992</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1692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993</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1694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994</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1693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2971</v>
      </c>
      <c r="C41" s="839" t="e">
        <f>ROUND(POWER(1+E41,H41-G41)*(POWER(1+E41,G41)-1)/(POWER(1+E41,H41)-1),4)</f>
        <v>#DIV/0!</v>
      </c>
      <c r="D41" s="378" t="s">
        <v>2969</v>
      </c>
      <c r="E41" s="3139">
        <f>G20</f>
        <v>0</v>
      </c>
      <c r="F41" s="378" t="s">
        <v>2970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995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996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997</v>
      </c>
      <c r="B46" s="2371" t="s">
        <v>998</v>
      </c>
      <c r="C46" s="2393" t="s">
        <v>999</v>
      </c>
      <c r="D46" s="2394" t="s">
        <v>1000</v>
      </c>
      <c r="E46" s="2395" t="s">
        <v>1002</v>
      </c>
      <c r="F46" s="2396" t="s">
        <v>2237</v>
      </c>
      <c r="G46" s="2394" t="s">
        <v>1003</v>
      </c>
      <c r="H46" s="2377" t="s">
        <v>2404</v>
      </c>
      <c r="I46" s="2394" t="s">
        <v>1001</v>
      </c>
      <c r="J46" s="2397" t="s">
        <v>1004</v>
      </c>
      <c r="K46" s="2397" t="s">
        <v>1005</v>
      </c>
      <c r="L46" s="2397" t="s">
        <v>1006</v>
      </c>
      <c r="M46" s="2397" t="s">
        <v>1007</v>
      </c>
      <c r="N46" s="2397" t="s">
        <v>1008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1009</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1010</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1011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1012</v>
      </c>
      <c r="B50" s="3042" t="s">
        <v>2924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1013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1014</v>
      </c>
      <c r="B52" s="3041" t="s">
        <v>2923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1015</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1016</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1017</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1018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997</v>
      </c>
      <c r="B57" s="2371"/>
      <c r="C57" s="2393" t="s">
        <v>999</v>
      </c>
      <c r="D57" s="2394" t="s">
        <v>1000</v>
      </c>
      <c r="E57" s="2395" t="s">
        <v>1002</v>
      </c>
      <c r="F57" s="2396" t="s">
        <v>2238</v>
      </c>
      <c r="G57" s="2394" t="s">
        <v>1003</v>
      </c>
      <c r="H57" s="2377" t="s">
        <v>2404</v>
      </c>
      <c r="I57" s="2394" t="s">
        <v>1001</v>
      </c>
      <c r="J57" s="2397" t="s">
        <v>1004</v>
      </c>
      <c r="K57" s="2397" t="s">
        <v>1005</v>
      </c>
      <c r="L57" s="2397" t="s">
        <v>1006</v>
      </c>
      <c r="M57" s="2397" t="s">
        <v>1007</v>
      </c>
      <c r="N57" s="2397" t="s">
        <v>1008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1019</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1010</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1011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1012</v>
      </c>
      <c r="B61" s="3042" t="s">
        <v>2925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1013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1014</v>
      </c>
      <c r="B63" s="3041" t="s">
        <v>2923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1015</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1016</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1017</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997</v>
      </c>
      <c r="B68" s="2371"/>
      <c r="C68" s="2393" t="s">
        <v>999</v>
      </c>
      <c r="D68" s="2394" t="s">
        <v>1000</v>
      </c>
      <c r="E68" s="2395" t="s">
        <v>1002</v>
      </c>
      <c r="F68" s="2396" t="s">
        <v>2239</v>
      </c>
      <c r="G68" s="2394" t="s">
        <v>1003</v>
      </c>
      <c r="H68" s="2377" t="s">
        <v>2404</v>
      </c>
      <c r="I68" s="2394" t="s">
        <v>1001</v>
      </c>
      <c r="J68" s="2397" t="s">
        <v>1004</v>
      </c>
      <c r="K68" s="2397" t="s">
        <v>1005</v>
      </c>
      <c r="L68" s="2397" t="s">
        <v>1006</v>
      </c>
      <c r="M68" s="2397" t="s">
        <v>1007</v>
      </c>
      <c r="N68" s="2397" t="s">
        <v>1008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1021</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1022</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1011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1023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1015</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1016</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1014</v>
      </c>
      <c r="B75" s="3041" t="s">
        <v>2923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1017</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1024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1025</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997</v>
      </c>
      <c r="B79" s="2371"/>
      <c r="C79" s="2393" t="s">
        <v>999</v>
      </c>
      <c r="D79" s="2394" t="s">
        <v>1000</v>
      </c>
      <c r="E79" s="2395" t="s">
        <v>1002</v>
      </c>
      <c r="F79" s="2396" t="s">
        <v>2240</v>
      </c>
      <c r="G79" s="2394" t="s">
        <v>1003</v>
      </c>
      <c r="H79" s="2377" t="s">
        <v>2404</v>
      </c>
      <c r="I79" s="2394" t="s">
        <v>1001</v>
      </c>
      <c r="J79" s="2397" t="s">
        <v>1004</v>
      </c>
      <c r="K79" s="2397" t="s">
        <v>1005</v>
      </c>
      <c r="L79" s="2397" t="s">
        <v>1006</v>
      </c>
      <c r="M79" s="2397" t="s">
        <v>1007</v>
      </c>
      <c r="N79" s="2397" t="s">
        <v>1008</v>
      </c>
      <c r="AC79" s="1400"/>
      <c r="AD79" s="1399"/>
      <c r="AJ79" s="1398"/>
      <c r="AN79" s="1399"/>
    </row>
    <row r="80" spans="1:40" ht="36">
      <c r="A80" s="1062" t="s">
        <v>1026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1022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1011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1023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1015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1016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1014</v>
      </c>
      <c r="B86" s="3041" t="s">
        <v>2923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1027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0" t="s">
        <v>1622</v>
      </c>
      <c r="B90" s="3450"/>
      <c r="C90" s="3450"/>
      <c r="D90" s="3450"/>
      <c r="E90" s="3450"/>
      <c r="F90" s="3450"/>
      <c r="G90" s="3450"/>
      <c r="H90" s="3450"/>
      <c r="I90" s="3450"/>
      <c r="J90" s="3450"/>
      <c r="K90" s="2413"/>
      <c r="L90" s="2413"/>
      <c r="M90" s="2413"/>
      <c r="N90" s="2413"/>
    </row>
    <row r="91" spans="1:40">
      <c r="A91" s="3451" t="s">
        <v>1432</v>
      </c>
      <c r="B91" s="3451" t="s">
        <v>1623</v>
      </c>
      <c r="C91" s="1135" t="s">
        <v>1624</v>
      </c>
      <c r="D91" s="1136"/>
      <c r="E91" s="1136"/>
      <c r="F91" s="1136"/>
      <c r="G91" s="1136"/>
      <c r="H91" s="1136"/>
      <c r="I91" s="1136"/>
      <c r="J91" s="1137"/>
      <c r="K91" s="1129"/>
      <c r="L91" s="1129"/>
      <c r="M91" s="1129"/>
      <c r="N91" s="1129"/>
    </row>
    <row r="92" spans="1:40">
      <c r="A92" s="3451"/>
      <c r="B92" s="3451"/>
      <c r="C92" s="2412" t="s">
        <v>896</v>
      </c>
      <c r="D92" s="2412" t="s">
        <v>874</v>
      </c>
      <c r="E92" s="2412" t="s">
        <v>875</v>
      </c>
      <c r="F92" s="2412" t="s">
        <v>899</v>
      </c>
      <c r="G92" s="2412" t="s">
        <v>877</v>
      </c>
      <c r="H92" s="2412" t="s">
        <v>878</v>
      </c>
      <c r="I92" s="2412" t="s">
        <v>879</v>
      </c>
      <c r="J92" s="2412" t="s">
        <v>880</v>
      </c>
      <c r="K92" s="2412" t="s">
        <v>904</v>
      </c>
      <c r="L92" s="2412" t="s">
        <v>882</v>
      </c>
      <c r="M92" s="2412" t="s">
        <v>883</v>
      </c>
      <c r="N92" s="2412" t="s">
        <v>907</v>
      </c>
    </row>
    <row r="93" spans="1:40">
      <c r="A93" s="3437" t="s">
        <v>2749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8"/>
      <c r="B99" s="1138" t="s">
        <v>1625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7" t="s">
        <v>1626</v>
      </c>
      <c r="B101" s="1142" t="s">
        <v>895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8"/>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8"/>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8"/>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8"/>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8"/>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8"/>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8"/>
      <c r="B108" s="3440" t="s">
        <v>1627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9"/>
      <c r="B109" s="344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44" t="s">
        <v>1628</v>
      </c>
      <c r="B110" s="3444"/>
      <c r="C110" s="3444"/>
      <c r="D110" s="3444"/>
      <c r="E110" s="3444"/>
      <c r="F110" s="3444"/>
      <c r="G110" s="3444"/>
      <c r="H110" s="3444"/>
      <c r="I110" s="3444"/>
      <c r="J110" s="3444"/>
      <c r="K110" s="2411"/>
      <c r="L110" s="2411"/>
      <c r="M110" s="2411"/>
      <c r="N110" s="2411"/>
    </row>
    <row r="112" spans="1:14" ht="12.75" thickBot="1"/>
    <row r="113" spans="1:13" ht="25.5" thickBot="1">
      <c r="A113" s="1015" t="s">
        <v>885</v>
      </c>
      <c r="B113" s="2414">
        <f>G3</f>
        <v>0</v>
      </c>
      <c r="C113" s="1016" t="s">
        <v>886</v>
      </c>
      <c r="D113" s="1017">
        <f>SUMPRODUCT((A115:A118=F113)*(B114:M114=H113)*B115:M118)</f>
        <v>0</v>
      </c>
      <c r="E113" s="1018" t="s">
        <v>887</v>
      </c>
      <c r="F113" s="1019">
        <f>E2</f>
        <v>0</v>
      </c>
      <c r="G113" s="1018" t="s">
        <v>888</v>
      </c>
      <c r="H113" s="1019">
        <f>G2</f>
        <v>0</v>
      </c>
      <c r="I113" s="1018"/>
      <c r="J113" s="1010"/>
      <c r="K113" s="1010"/>
      <c r="L113" s="1010"/>
      <c r="M113" s="1010"/>
    </row>
    <row r="114" spans="1:13" ht="12.75">
      <c r="A114" s="1022"/>
      <c r="B114" s="1023" t="s">
        <v>873</v>
      </c>
      <c r="C114" s="1023" t="s">
        <v>874</v>
      </c>
      <c r="D114" s="1023" t="s">
        <v>875</v>
      </c>
      <c r="E114" s="1024" t="s">
        <v>876</v>
      </c>
      <c r="F114" s="1024" t="s">
        <v>877</v>
      </c>
      <c r="G114" s="1024" t="s">
        <v>878</v>
      </c>
      <c r="H114" s="1025" t="s">
        <v>879</v>
      </c>
      <c r="I114" s="1025" t="s">
        <v>880</v>
      </c>
      <c r="J114" s="1026" t="s">
        <v>881</v>
      </c>
      <c r="K114" s="1026" t="s">
        <v>882</v>
      </c>
      <c r="L114" s="1026" t="s">
        <v>883</v>
      </c>
      <c r="M114" s="1027" t="s">
        <v>884</v>
      </c>
    </row>
    <row r="115" spans="1:13" ht="12.75">
      <c r="A115" s="1028" t="s">
        <v>889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1420</v>
      </c>
      <c r="B1" s="1067" t="s">
        <v>896</v>
      </c>
      <c r="C1" s="1067" t="s">
        <v>897</v>
      </c>
      <c r="D1" s="1067" t="s">
        <v>898</v>
      </c>
      <c r="E1" s="1067" t="s">
        <v>899</v>
      </c>
      <c r="F1" s="1067" t="s">
        <v>900</v>
      </c>
      <c r="G1" s="1067" t="s">
        <v>901</v>
      </c>
      <c r="H1" s="1067" t="s">
        <v>902</v>
      </c>
      <c r="I1" s="1067" t="s">
        <v>903</v>
      </c>
      <c r="J1" s="1067" t="s">
        <v>904</v>
      </c>
      <c r="K1" s="1067" t="s">
        <v>905</v>
      </c>
      <c r="L1" s="1067" t="s">
        <v>906</v>
      </c>
      <c r="M1" s="1068" t="s">
        <v>907</v>
      </c>
    </row>
    <row r="2" spans="1:13" ht="19.5" customHeight="1">
      <c r="A2" s="1102" t="s">
        <v>996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1429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2974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1431</v>
      </c>
      <c r="B16" s="1121"/>
      <c r="C16" s="1122"/>
      <c r="D16" s="1122"/>
      <c r="E16" s="1121"/>
      <c r="F16" s="1122"/>
      <c r="G16" s="1122"/>
    </row>
    <row r="17" spans="1:9" ht="19.5" customHeight="1">
      <c r="A17" s="1063" t="s">
        <v>1432</v>
      </c>
      <c r="B17" s="1123" t="s">
        <v>1433</v>
      </c>
      <c r="C17" s="1123" t="s">
        <v>1632</v>
      </c>
      <c r="D17" s="1124"/>
      <c r="E17" s="1063" t="s">
        <v>1434</v>
      </c>
      <c r="F17" s="1125"/>
      <c r="G17" s="1125"/>
    </row>
    <row r="18" spans="1:9" s="1583" customFormat="1" ht="19.5" customHeight="1">
      <c r="A18" s="3451" t="s">
        <v>996</v>
      </c>
      <c r="B18" s="1149" t="s">
        <v>1435</v>
      </c>
      <c r="C18" s="1126" t="s">
        <v>1436</v>
      </c>
      <c r="D18" s="1127"/>
      <c r="E18" s="1149">
        <v>1</v>
      </c>
      <c r="F18" s="1128" t="s">
        <v>1437</v>
      </c>
      <c r="G18" s="1129"/>
      <c r="H18" s="1100"/>
      <c r="I18" s="1100"/>
    </row>
    <row r="19" spans="1:9" s="1583" customFormat="1" ht="19.5" customHeight="1">
      <c r="A19" s="3451"/>
      <c r="B19" s="3451" t="s">
        <v>1438</v>
      </c>
      <c r="C19" s="1126" t="s">
        <v>1439</v>
      </c>
      <c r="D19" s="1127"/>
      <c r="E19" s="1149">
        <v>0.9</v>
      </c>
      <c r="F19" s="1128" t="s">
        <v>1440</v>
      </c>
      <c r="G19" s="1129"/>
      <c r="H19" s="1100"/>
      <c r="I19" s="1100"/>
    </row>
    <row r="20" spans="1:9" s="1583" customFormat="1" ht="19.5" customHeight="1">
      <c r="A20" s="3451"/>
      <c r="B20" s="3451"/>
      <c r="C20" s="1126" t="s">
        <v>1441</v>
      </c>
      <c r="D20" s="1127"/>
      <c r="E20" s="1149">
        <v>1.1000000000000001</v>
      </c>
      <c r="F20" s="1128" t="s">
        <v>1442</v>
      </c>
      <c r="G20" s="1129"/>
      <c r="H20" s="1100"/>
      <c r="I20" s="1100"/>
    </row>
    <row r="21" spans="1:9" s="1583" customFormat="1" ht="19.5" customHeight="1">
      <c r="A21" s="3451"/>
      <c r="B21" s="3451"/>
      <c r="C21" s="1126" t="s">
        <v>1443</v>
      </c>
      <c r="D21" s="1127"/>
      <c r="E21" s="1149">
        <v>0.8</v>
      </c>
      <c r="F21" s="1128" t="s">
        <v>1444</v>
      </c>
      <c r="G21" s="1129"/>
      <c r="H21" s="1100"/>
      <c r="I21" s="1100"/>
    </row>
    <row r="22" spans="1:9" s="1583" customFormat="1" ht="19.5" customHeight="1">
      <c r="A22" s="3451"/>
      <c r="B22" s="3451"/>
      <c r="C22" s="1126" t="s">
        <v>1445</v>
      </c>
      <c r="D22" s="1127"/>
      <c r="E22" s="1149">
        <v>0.5</v>
      </c>
      <c r="F22" s="1128"/>
      <c r="G22" s="1129"/>
      <c r="H22" s="1100"/>
      <c r="I22" s="1100"/>
    </row>
    <row r="23" spans="1:9" s="1583" customFormat="1" ht="19.5" customHeight="1">
      <c r="A23" s="3451" t="s">
        <v>1018</v>
      </c>
      <c r="B23" s="1149" t="s">
        <v>1435</v>
      </c>
      <c r="C23" s="1126" t="s">
        <v>1446</v>
      </c>
      <c r="D23" s="1127"/>
      <c r="E23" s="1149">
        <v>1</v>
      </c>
      <c r="F23" s="1128" t="s">
        <v>1447</v>
      </c>
      <c r="G23" s="1129"/>
      <c r="H23" s="1100"/>
      <c r="I23" s="1100"/>
    </row>
    <row r="24" spans="1:9" s="1583" customFormat="1" ht="19.5" customHeight="1">
      <c r="A24" s="3451"/>
      <c r="B24" s="3451" t="s">
        <v>1438</v>
      </c>
      <c r="C24" s="1126" t="s">
        <v>1448</v>
      </c>
      <c r="D24" s="1127"/>
      <c r="E24" s="1149">
        <v>0.5</v>
      </c>
      <c r="F24" s="1128"/>
      <c r="G24" s="1129"/>
      <c r="H24" s="1100"/>
      <c r="I24" s="1100"/>
    </row>
    <row r="25" spans="1:9" s="1583" customFormat="1" ht="19.5" customHeight="1">
      <c r="A25" s="3451"/>
      <c r="B25" s="3451"/>
      <c r="C25" s="1126" t="s">
        <v>1449</v>
      </c>
      <c r="D25" s="1127"/>
      <c r="E25" s="1149">
        <v>1.1000000000000001</v>
      </c>
      <c r="F25" s="1128"/>
      <c r="G25" s="1129"/>
      <c r="H25" s="1100"/>
      <c r="I25" s="1100"/>
    </row>
    <row r="26" spans="1:9" s="1583" customFormat="1" ht="19.5" customHeight="1">
      <c r="A26" s="3451"/>
      <c r="B26" s="3451"/>
      <c r="C26" s="1126" t="s">
        <v>1450</v>
      </c>
      <c r="D26" s="1127"/>
      <c r="E26" s="1149">
        <v>1.1000000000000001</v>
      </c>
      <c r="F26" s="1128"/>
      <c r="G26" s="1129"/>
      <c r="H26" s="1100"/>
      <c r="I26" s="1100"/>
    </row>
    <row r="27" spans="1:9" s="1583" customFormat="1" ht="19.5" customHeight="1">
      <c r="A27" s="3451"/>
      <c r="B27" s="3451"/>
      <c r="C27" s="1126" t="s">
        <v>1451</v>
      </c>
      <c r="D27" s="1127"/>
      <c r="E27" s="1149">
        <v>0.9</v>
      </c>
      <c r="F27" s="1128" t="s">
        <v>1452</v>
      </c>
      <c r="G27" s="1129"/>
      <c r="H27" s="1100"/>
      <c r="I27" s="1100"/>
    </row>
    <row r="28" spans="1:9" s="1583" customFormat="1" ht="19.5" customHeight="1">
      <c r="A28" s="3451"/>
      <c r="B28" s="3451"/>
      <c r="C28" s="1126" t="s">
        <v>1453</v>
      </c>
      <c r="D28" s="1127"/>
      <c r="E28" s="1149">
        <v>0.9</v>
      </c>
      <c r="F28" s="1128" t="s">
        <v>1454</v>
      </c>
      <c r="G28" s="1129"/>
      <c r="H28" s="1100"/>
      <c r="I28" s="1100"/>
    </row>
    <row r="29" spans="1:9" s="1583" customFormat="1" ht="19.5" customHeight="1">
      <c r="A29" s="3451"/>
      <c r="B29" s="3451"/>
      <c r="C29" s="1126" t="s">
        <v>1455</v>
      </c>
      <c r="D29" s="1127"/>
      <c r="E29" s="1149">
        <v>0.9</v>
      </c>
      <c r="F29" s="1128" t="s">
        <v>1456</v>
      </c>
      <c r="G29" s="1129"/>
      <c r="H29" s="1100"/>
      <c r="I29" s="1100"/>
    </row>
    <row r="30" spans="1:9" s="1583" customFormat="1" ht="19.5" customHeight="1">
      <c r="A30" s="3451"/>
      <c r="B30" s="3451"/>
      <c r="C30" s="1126" t="s">
        <v>1457</v>
      </c>
      <c r="D30" s="1127"/>
      <c r="E30" s="1149">
        <v>0.9</v>
      </c>
      <c r="F30" s="1128" t="s">
        <v>1458</v>
      </c>
      <c r="G30" s="1129"/>
      <c r="H30" s="1100"/>
      <c r="I30" s="1100"/>
    </row>
    <row r="31" spans="1:9" s="1583" customFormat="1" ht="19.5" customHeight="1">
      <c r="A31" s="3451"/>
      <c r="B31" s="3451"/>
      <c r="C31" s="1126" t="s">
        <v>1459</v>
      </c>
      <c r="D31" s="1127"/>
      <c r="E31" s="1149">
        <v>0.8</v>
      </c>
      <c r="F31" s="1128" t="s">
        <v>1460</v>
      </c>
      <c r="G31" s="1129"/>
      <c r="H31" s="1100"/>
      <c r="I31" s="1100"/>
    </row>
    <row r="32" spans="1:9" s="1583" customFormat="1" ht="19.5" customHeight="1">
      <c r="A32" s="3451"/>
      <c r="B32" s="3451"/>
      <c r="C32" s="1126" t="s">
        <v>1461</v>
      </c>
      <c r="D32" s="1127"/>
      <c r="E32" s="1149">
        <v>0.8</v>
      </c>
      <c r="F32" s="1128" t="s">
        <v>1462</v>
      </c>
      <c r="G32" s="1129"/>
      <c r="H32" s="1100"/>
      <c r="I32" s="1100"/>
    </row>
    <row r="33" spans="1:9" s="1583" customFormat="1" ht="19.5" customHeight="1">
      <c r="A33" s="3451" t="s">
        <v>1463</v>
      </c>
      <c r="B33" s="1149" t="s">
        <v>1435</v>
      </c>
      <c r="C33" s="1126" t="s">
        <v>1464</v>
      </c>
      <c r="D33" s="1127"/>
      <c r="E33" s="1149">
        <v>1</v>
      </c>
      <c r="F33" s="1128" t="s">
        <v>1465</v>
      </c>
      <c r="G33" s="1129"/>
      <c r="H33" s="1100"/>
      <c r="I33" s="1100"/>
    </row>
    <row r="34" spans="1:9" s="1583" customFormat="1" ht="19.5" customHeight="1">
      <c r="A34" s="3451"/>
      <c r="B34" s="1149" t="s">
        <v>1438</v>
      </c>
      <c r="C34" s="1126" t="s">
        <v>1466</v>
      </c>
      <c r="D34" s="1127"/>
      <c r="E34" s="1149">
        <v>1.5</v>
      </c>
      <c r="F34" s="1128" t="s">
        <v>1467</v>
      </c>
      <c r="G34" s="1129"/>
      <c r="H34" s="1100"/>
      <c r="I34" s="1100"/>
    </row>
    <row r="35" spans="1:9" s="1583" customFormat="1" ht="19.5" customHeight="1">
      <c r="A35" s="3451" t="s">
        <v>1421</v>
      </c>
      <c r="B35" s="1149" t="s">
        <v>1435</v>
      </c>
      <c r="C35" s="1126" t="s">
        <v>1468</v>
      </c>
      <c r="D35" s="1127"/>
      <c r="E35" s="1149">
        <v>1</v>
      </c>
      <c r="F35" s="1128" t="s">
        <v>1469</v>
      </c>
      <c r="G35" s="1129"/>
      <c r="H35" s="1100"/>
      <c r="I35" s="1100"/>
    </row>
    <row r="36" spans="1:9" s="1583" customFormat="1" ht="19.5" customHeight="1">
      <c r="A36" s="3451"/>
      <c r="B36" s="3451" t="s">
        <v>1438</v>
      </c>
      <c r="C36" s="1126" t="s">
        <v>1470</v>
      </c>
      <c r="D36" s="1127"/>
      <c r="E36" s="1149">
        <v>1</v>
      </c>
      <c r="F36" s="1128" t="s">
        <v>1471</v>
      </c>
      <c r="G36" s="1129"/>
      <c r="H36" s="1100"/>
      <c r="I36" s="1100"/>
    </row>
    <row r="37" spans="1:9" s="1583" customFormat="1" ht="19.5" customHeight="1">
      <c r="A37" s="3451"/>
      <c r="B37" s="3451"/>
      <c r="C37" s="1126" t="s">
        <v>1472</v>
      </c>
      <c r="D37" s="1127"/>
      <c r="E37" s="1149">
        <v>1.5</v>
      </c>
      <c r="F37" s="1128" t="s">
        <v>1473</v>
      </c>
      <c r="G37" s="1129"/>
      <c r="H37" s="1100"/>
      <c r="I37" s="1100"/>
    </row>
    <row r="38" spans="1:9" s="1583" customFormat="1" ht="19.5" customHeight="1">
      <c r="A38" s="3451"/>
      <c r="B38" s="3451"/>
      <c r="C38" s="1126" t="s">
        <v>1474</v>
      </c>
      <c r="D38" s="1127"/>
      <c r="E38" s="1149">
        <v>1</v>
      </c>
      <c r="F38" s="1128" t="s">
        <v>1475</v>
      </c>
      <c r="G38" s="1129"/>
      <c r="H38" s="1100"/>
      <c r="I38" s="1100"/>
    </row>
    <row r="39" spans="1:9" s="1583" customFormat="1" ht="19.5" customHeight="1">
      <c r="A39" s="3451"/>
      <c r="B39" s="3451"/>
      <c r="C39" s="1126" t="s">
        <v>1476</v>
      </c>
      <c r="D39" s="1127"/>
      <c r="E39" s="1149">
        <v>1</v>
      </c>
      <c r="F39" s="1128" t="s">
        <v>1477</v>
      </c>
      <c r="G39" s="1129"/>
      <c r="H39" s="1100"/>
      <c r="I39" s="1100"/>
    </row>
    <row r="40" spans="1:9" s="1583" customFormat="1" ht="19.5" customHeight="1">
      <c r="A40" s="1584" t="s">
        <v>1478</v>
      </c>
      <c r="B40" s="1584"/>
      <c r="C40" s="1584"/>
      <c r="D40" s="1584"/>
      <c r="E40" s="1584"/>
      <c r="F40" s="1128"/>
      <c r="G40" s="1128"/>
      <c r="H40" s="1100"/>
      <c r="I40" s="1100"/>
    </row>
    <row r="42" spans="1:9" ht="19.5" customHeight="1">
      <c r="A42" s="1130"/>
      <c r="B42" s="1063" t="s">
        <v>1479</v>
      </c>
      <c r="C42" s="1063" t="s">
        <v>1479</v>
      </c>
      <c r="D42" s="1063" t="s">
        <v>1479</v>
      </c>
      <c r="E42" s="1148" t="s">
        <v>1479</v>
      </c>
      <c r="F42" s="1148" t="s">
        <v>1479</v>
      </c>
      <c r="G42" s="1148" t="s">
        <v>1480</v>
      </c>
      <c r="H42" s="1148" t="s">
        <v>1479</v>
      </c>
    </row>
    <row r="43" spans="1:9" ht="19.5" customHeight="1">
      <c r="A43" s="1131"/>
      <c r="B43" s="1148" t="s">
        <v>996</v>
      </c>
      <c r="C43" s="1148" t="s">
        <v>996</v>
      </c>
      <c r="D43" s="1148" t="s">
        <v>996</v>
      </c>
      <c r="E43" s="1148" t="s">
        <v>996</v>
      </c>
      <c r="F43" s="1063" t="s">
        <v>1018</v>
      </c>
      <c r="G43" s="1063" t="s">
        <v>1421</v>
      </c>
      <c r="H43" s="1063" t="s">
        <v>1481</v>
      </c>
    </row>
    <row r="44" spans="1:9" ht="19.5" customHeight="1">
      <c r="A44" s="1132"/>
      <c r="B44" s="1063">
        <v>1</v>
      </c>
      <c r="C44" s="1063">
        <v>2</v>
      </c>
      <c r="D44" s="1063">
        <v>3</v>
      </c>
      <c r="E44" s="1148">
        <v>4</v>
      </c>
      <c r="F44" s="1124" t="s">
        <v>1482</v>
      </c>
      <c r="G44" s="1124" t="s">
        <v>1482</v>
      </c>
      <c r="H44" s="1124" t="s">
        <v>1482</v>
      </c>
    </row>
    <row r="45" spans="1:9" ht="19.5" customHeight="1">
      <c r="A45" s="1147" t="s">
        <v>896</v>
      </c>
      <c r="B45" s="1063">
        <v>0.8</v>
      </c>
      <c r="C45" s="1063">
        <v>0.5</v>
      </c>
      <c r="D45" s="1063">
        <v>0.36</v>
      </c>
      <c r="E45" s="1063">
        <v>0.3</v>
      </c>
      <c r="F45" s="1124">
        <v>0.3</v>
      </c>
      <c r="G45" s="1063">
        <v>0.3</v>
      </c>
      <c r="H45" s="1063">
        <v>0.25</v>
      </c>
    </row>
    <row r="46" spans="1:9" ht="19.5" customHeight="1">
      <c r="A46" s="1147" t="s">
        <v>897</v>
      </c>
      <c r="B46" s="1063">
        <v>0.8</v>
      </c>
      <c r="C46" s="1063">
        <v>0.5</v>
      </c>
      <c r="D46" s="1063">
        <v>0.36</v>
      </c>
      <c r="E46" s="1063">
        <v>0.3</v>
      </c>
      <c r="F46" s="1063">
        <v>0.3</v>
      </c>
      <c r="G46" s="1063">
        <v>0.3</v>
      </c>
      <c r="H46" s="1063">
        <v>0.25</v>
      </c>
    </row>
    <row r="47" spans="1:9" ht="19.5" customHeight="1">
      <c r="A47" s="1147" t="s">
        <v>898</v>
      </c>
      <c r="B47" s="1063">
        <v>0.7</v>
      </c>
      <c r="C47" s="1063">
        <v>0.4</v>
      </c>
      <c r="D47" s="1063">
        <v>0.28000000000000003</v>
      </c>
      <c r="E47" s="1063">
        <v>0.25</v>
      </c>
      <c r="F47" s="1063">
        <v>0.25</v>
      </c>
      <c r="G47" s="1063">
        <v>0.25</v>
      </c>
      <c r="H47" s="1063">
        <v>0.2</v>
      </c>
    </row>
    <row r="48" spans="1:9" ht="19.5" customHeight="1">
      <c r="A48" s="1147" t="s">
        <v>899</v>
      </c>
      <c r="B48" s="1063">
        <v>0.7</v>
      </c>
      <c r="C48" s="1063">
        <v>0.4</v>
      </c>
      <c r="D48" s="1063">
        <v>0.28000000000000003</v>
      </c>
      <c r="E48" s="1063">
        <v>0.25</v>
      </c>
      <c r="F48" s="1063">
        <v>0.25</v>
      </c>
      <c r="G48" s="1063">
        <v>0.25</v>
      </c>
      <c r="H48" s="1063">
        <v>0.2</v>
      </c>
    </row>
    <row r="49" spans="1:8" s="1100" customFormat="1" ht="19.5" customHeight="1">
      <c r="A49" s="1147" t="s">
        <v>900</v>
      </c>
      <c r="B49" s="1063">
        <v>0.7</v>
      </c>
      <c r="C49" s="1063">
        <v>0.4</v>
      </c>
      <c r="D49" s="1063">
        <v>0.28000000000000003</v>
      </c>
      <c r="E49" s="1063">
        <v>0.25</v>
      </c>
      <c r="F49" s="1063">
        <v>0.25</v>
      </c>
      <c r="G49" s="1063">
        <v>0.25</v>
      </c>
      <c r="H49" s="1063">
        <v>0.2</v>
      </c>
    </row>
    <row r="50" spans="1:8" s="1100" customFormat="1" ht="19.5" customHeight="1">
      <c r="A50" s="1147" t="s">
        <v>901</v>
      </c>
      <c r="B50" s="1063">
        <v>0.7</v>
      </c>
      <c r="C50" s="1063">
        <v>0.4</v>
      </c>
      <c r="D50" s="1063">
        <v>0.28000000000000003</v>
      </c>
      <c r="E50" s="1063">
        <v>0.25</v>
      </c>
      <c r="F50" s="1063">
        <v>0.25</v>
      </c>
      <c r="G50" s="1063">
        <v>0.25</v>
      </c>
      <c r="H50" s="1063">
        <v>0.2</v>
      </c>
    </row>
    <row r="51" spans="1:8" s="1100" customFormat="1" ht="19.5" customHeight="1">
      <c r="A51" s="1147" t="s">
        <v>902</v>
      </c>
      <c r="B51" s="1063">
        <v>0.7</v>
      </c>
      <c r="C51" s="1063">
        <v>0.4</v>
      </c>
      <c r="D51" s="1063">
        <v>0.28000000000000003</v>
      </c>
      <c r="E51" s="1063">
        <v>0.25</v>
      </c>
      <c r="F51" s="1063">
        <v>0.25</v>
      </c>
      <c r="G51" s="1063">
        <v>0.25</v>
      </c>
      <c r="H51" s="1063">
        <v>0.2</v>
      </c>
    </row>
    <row r="52" spans="1:8" s="1100" customFormat="1" ht="19.5" customHeight="1">
      <c r="A52" s="1147" t="s">
        <v>903</v>
      </c>
      <c r="B52" s="1063">
        <v>0.6</v>
      </c>
      <c r="C52" s="1063">
        <v>0.3</v>
      </c>
      <c r="D52" s="1063">
        <v>0.2</v>
      </c>
      <c r="E52" s="1063">
        <v>0.2</v>
      </c>
      <c r="F52" s="1063">
        <v>0.2</v>
      </c>
      <c r="G52" s="1063">
        <v>0.2</v>
      </c>
      <c r="H52" s="1063">
        <v>0.15</v>
      </c>
    </row>
    <row r="53" spans="1:8" s="1100" customFormat="1" ht="19.5" customHeight="1">
      <c r="A53" s="1147" t="s">
        <v>904</v>
      </c>
      <c r="B53" s="1063">
        <v>0.6</v>
      </c>
      <c r="C53" s="1063">
        <v>0.3</v>
      </c>
      <c r="D53" s="1063">
        <v>0.2</v>
      </c>
      <c r="E53" s="1063">
        <v>0.2</v>
      </c>
      <c r="F53" s="1063">
        <v>0.2</v>
      </c>
      <c r="G53" s="1063">
        <v>0.2</v>
      </c>
      <c r="H53" s="1063">
        <v>0.15</v>
      </c>
    </row>
    <row r="54" spans="1:8" s="1100" customFormat="1" ht="19.5" customHeight="1">
      <c r="A54" s="1147" t="s">
        <v>905</v>
      </c>
      <c r="B54" s="1063">
        <v>0.6</v>
      </c>
      <c r="C54" s="1063">
        <v>0.3</v>
      </c>
      <c r="D54" s="1063">
        <v>0.2</v>
      </c>
      <c r="E54" s="1063">
        <v>0.2</v>
      </c>
      <c r="F54" s="1063">
        <v>0.2</v>
      </c>
      <c r="G54" s="1063">
        <v>0.2</v>
      </c>
      <c r="H54" s="1063">
        <v>0.15</v>
      </c>
    </row>
    <row r="55" spans="1:8" s="1100" customFormat="1" ht="19.5" customHeight="1">
      <c r="A55" s="1147" t="s">
        <v>906</v>
      </c>
      <c r="B55" s="1063">
        <v>0.6</v>
      </c>
      <c r="C55" s="1063">
        <v>0.3</v>
      </c>
      <c r="D55" s="1063">
        <v>0.2</v>
      </c>
      <c r="E55" s="1063">
        <v>0.2</v>
      </c>
      <c r="F55" s="1063">
        <v>0.2</v>
      </c>
      <c r="G55" s="1063">
        <v>0.2</v>
      </c>
      <c r="H55" s="1063">
        <v>0.15</v>
      </c>
    </row>
    <row r="56" spans="1:8" s="1100" customFormat="1" ht="19.5" customHeight="1">
      <c r="A56" s="1147" t="s">
        <v>907</v>
      </c>
      <c r="B56" s="1063">
        <v>0.6</v>
      </c>
      <c r="C56" s="1063">
        <v>0.3</v>
      </c>
      <c r="D56" s="1063">
        <v>0.2</v>
      </c>
      <c r="E56" s="1063">
        <v>0.2</v>
      </c>
      <c r="F56" s="1063">
        <v>0.2</v>
      </c>
      <c r="G56" s="1063">
        <v>0.2</v>
      </c>
      <c r="H56" s="1063">
        <v>0.15</v>
      </c>
    </row>
    <row r="58" spans="1:8" s="1100" customFormat="1" ht="19.5" customHeight="1">
      <c r="A58" s="1133"/>
      <c r="B58" s="1121"/>
      <c r="C58" s="1121"/>
      <c r="D58" s="1121" t="s">
        <v>1483</v>
      </c>
      <c r="E58" s="1121"/>
      <c r="F58" s="1121"/>
    </row>
    <row r="59" spans="1:8" s="1100" customFormat="1" ht="19.5" customHeight="1">
      <c r="A59" s="1149" t="s">
        <v>1484</v>
      </c>
      <c r="B59" s="1149" t="s">
        <v>1485</v>
      </c>
      <c r="C59" s="1149" t="s">
        <v>1486</v>
      </c>
      <c r="D59" s="1149" t="s">
        <v>1487</v>
      </c>
      <c r="E59" s="1149" t="s">
        <v>1488</v>
      </c>
      <c r="F59" s="1149" t="s">
        <v>1489</v>
      </c>
    </row>
    <row r="60" spans="1:8" s="1100" customFormat="1" ht="19.5" customHeight="1">
      <c r="A60" s="1149"/>
      <c r="B60" s="1149"/>
      <c r="C60" s="1149" t="s">
        <v>1621</v>
      </c>
      <c r="D60" s="1149"/>
      <c r="E60" s="1134" t="s">
        <v>1430</v>
      </c>
      <c r="F60" s="1149" t="s">
        <v>1430</v>
      </c>
    </row>
    <row r="61" spans="1:8" s="1100" customFormat="1" ht="24">
      <c r="A61" s="1149">
        <v>1</v>
      </c>
      <c r="B61" s="3451" t="s">
        <v>1490</v>
      </c>
      <c r="C61" s="1063" t="s">
        <v>1491</v>
      </c>
      <c r="D61" s="1063" t="s">
        <v>1492</v>
      </c>
      <c r="E61" s="1134">
        <v>0.5</v>
      </c>
      <c r="F61" s="1149">
        <v>80</v>
      </c>
      <c r="H61" s="1100">
        <f>SUMIF(C59:C119,基准地价!C8,E59:E119)</f>
        <v>0</v>
      </c>
    </row>
    <row r="62" spans="1:8" s="1100" customFormat="1" ht="24">
      <c r="A62" s="1149">
        <v>2</v>
      </c>
      <c r="B62" s="3451"/>
      <c r="C62" s="1063" t="s">
        <v>1493</v>
      </c>
      <c r="D62" s="1063" t="s">
        <v>1494</v>
      </c>
      <c r="E62" s="1134">
        <v>0.5</v>
      </c>
      <c r="F62" s="1149">
        <v>80</v>
      </c>
    </row>
    <row r="63" spans="1:8" s="1100" customFormat="1" ht="36">
      <c r="A63" s="1149">
        <v>3</v>
      </c>
      <c r="B63" s="3451"/>
      <c r="C63" s="1063" t="s">
        <v>1495</v>
      </c>
      <c r="D63" s="1063" t="s">
        <v>1496</v>
      </c>
      <c r="E63" s="1134">
        <v>0.5</v>
      </c>
      <c r="F63" s="1149">
        <v>80</v>
      </c>
    </row>
    <row r="64" spans="1:8" s="1100" customFormat="1" ht="36">
      <c r="A64" s="1149">
        <v>4</v>
      </c>
      <c r="B64" s="3451"/>
      <c r="C64" s="1063" t="s">
        <v>1497</v>
      </c>
      <c r="D64" s="1063" t="s">
        <v>1498</v>
      </c>
      <c r="E64" s="1134">
        <v>0.4</v>
      </c>
      <c r="F64" s="1149">
        <v>60</v>
      </c>
    </row>
    <row r="65" spans="1:6" s="1100" customFormat="1" ht="36">
      <c r="A65" s="1149">
        <v>5</v>
      </c>
      <c r="B65" s="3451"/>
      <c r="C65" s="1063" t="s">
        <v>1499</v>
      </c>
      <c r="D65" s="1063" t="s">
        <v>1500</v>
      </c>
      <c r="E65" s="1134">
        <v>0.2</v>
      </c>
      <c r="F65" s="1149">
        <v>30</v>
      </c>
    </row>
    <row r="66" spans="1:6" s="1100" customFormat="1" ht="36">
      <c r="A66" s="1149">
        <v>6</v>
      </c>
      <c r="B66" s="3451"/>
      <c r="C66" s="1063" t="s">
        <v>1501</v>
      </c>
      <c r="D66" s="1063" t="s">
        <v>1502</v>
      </c>
      <c r="E66" s="1134">
        <v>0.3</v>
      </c>
      <c r="F66" s="1149">
        <v>50</v>
      </c>
    </row>
    <row r="67" spans="1:6" s="1100" customFormat="1" ht="36">
      <c r="A67" s="1149">
        <v>7</v>
      </c>
      <c r="B67" s="3451"/>
      <c r="C67" s="1063" t="s">
        <v>1503</v>
      </c>
      <c r="D67" s="1063" t="s">
        <v>1504</v>
      </c>
      <c r="E67" s="1134">
        <v>0.2</v>
      </c>
      <c r="F67" s="1149">
        <v>30</v>
      </c>
    </row>
    <row r="68" spans="1:6" s="1100" customFormat="1" ht="36">
      <c r="A68" s="1149">
        <v>8</v>
      </c>
      <c r="B68" s="3451"/>
      <c r="C68" s="1063" t="s">
        <v>1505</v>
      </c>
      <c r="D68" s="1063" t="s">
        <v>1506</v>
      </c>
      <c r="E68" s="1134">
        <v>0.2</v>
      </c>
      <c r="F68" s="1149">
        <v>30</v>
      </c>
    </row>
    <row r="69" spans="1:6" s="1100" customFormat="1" ht="36">
      <c r="A69" s="1149">
        <v>9</v>
      </c>
      <c r="B69" s="3451"/>
      <c r="C69" s="1063" t="s">
        <v>1507</v>
      </c>
      <c r="D69" s="1063" t="s">
        <v>1508</v>
      </c>
      <c r="E69" s="1134">
        <v>0.2</v>
      </c>
      <c r="F69" s="1149">
        <v>30</v>
      </c>
    </row>
    <row r="70" spans="1:6" s="1100" customFormat="1" ht="48">
      <c r="A70" s="1149">
        <v>10</v>
      </c>
      <c r="B70" s="3451"/>
      <c r="C70" s="1063" t="s">
        <v>1509</v>
      </c>
      <c r="D70" s="1063" t="s">
        <v>1510</v>
      </c>
      <c r="E70" s="1134">
        <v>0.2</v>
      </c>
      <c r="F70" s="1149">
        <v>30</v>
      </c>
    </row>
    <row r="71" spans="1:6" s="1100" customFormat="1" ht="48">
      <c r="A71" s="1149">
        <v>11</v>
      </c>
      <c r="B71" s="3451"/>
      <c r="C71" s="1063" t="s">
        <v>1511</v>
      </c>
      <c r="D71" s="1063" t="s">
        <v>1512</v>
      </c>
      <c r="E71" s="1134">
        <v>0.2</v>
      </c>
      <c r="F71" s="1149">
        <v>30</v>
      </c>
    </row>
    <row r="72" spans="1:6" s="1100" customFormat="1" ht="36">
      <c r="A72" s="1149">
        <v>12</v>
      </c>
      <c r="B72" s="3451"/>
      <c r="C72" s="1063" t="s">
        <v>1513</v>
      </c>
      <c r="D72" s="1063" t="s">
        <v>1514</v>
      </c>
      <c r="E72" s="1134">
        <v>0.5</v>
      </c>
      <c r="F72" s="1149">
        <v>80</v>
      </c>
    </row>
    <row r="73" spans="1:6" s="1100" customFormat="1" ht="24">
      <c r="A73" s="1149">
        <v>13</v>
      </c>
      <c r="B73" s="3451"/>
      <c r="C73" s="1063" t="s">
        <v>1515</v>
      </c>
      <c r="D73" s="1063" t="s">
        <v>1516</v>
      </c>
      <c r="E73" s="1134">
        <v>0.4</v>
      </c>
      <c r="F73" s="1149">
        <v>60</v>
      </c>
    </row>
    <row r="74" spans="1:6" s="1100" customFormat="1" ht="24">
      <c r="A74" s="1149">
        <v>14</v>
      </c>
      <c r="B74" s="3451"/>
      <c r="C74" s="1063" t="s">
        <v>1517</v>
      </c>
      <c r="D74" s="1063" t="s">
        <v>1518</v>
      </c>
      <c r="E74" s="1134">
        <v>0.2</v>
      </c>
      <c r="F74" s="1149">
        <v>30</v>
      </c>
    </row>
    <row r="75" spans="1:6" s="1100" customFormat="1" ht="24">
      <c r="A75" s="1149">
        <v>15</v>
      </c>
      <c r="B75" s="3451"/>
      <c r="C75" s="1063" t="s">
        <v>1519</v>
      </c>
      <c r="D75" s="1063" t="s">
        <v>1520</v>
      </c>
      <c r="E75" s="1134">
        <v>0.2</v>
      </c>
      <c r="F75" s="1149">
        <v>30</v>
      </c>
    </row>
    <row r="76" spans="1:6" s="1100" customFormat="1" ht="24">
      <c r="A76" s="1149">
        <v>16</v>
      </c>
      <c r="B76" s="3451" t="s">
        <v>1521</v>
      </c>
      <c r="C76" s="1063" t="s">
        <v>1522</v>
      </c>
      <c r="D76" s="1063" t="s">
        <v>1523</v>
      </c>
      <c r="E76" s="1134">
        <v>0.5</v>
      </c>
      <c r="F76" s="1149">
        <v>80</v>
      </c>
    </row>
    <row r="77" spans="1:6" s="1100" customFormat="1" ht="24">
      <c r="A77" s="1149">
        <v>17</v>
      </c>
      <c r="B77" s="3451"/>
      <c r="C77" s="1063" t="s">
        <v>1524</v>
      </c>
      <c r="D77" s="1063" t="s">
        <v>1525</v>
      </c>
      <c r="E77" s="1134">
        <v>0.5</v>
      </c>
      <c r="F77" s="1149">
        <v>80</v>
      </c>
    </row>
    <row r="78" spans="1:6" s="1100" customFormat="1" ht="24">
      <c r="A78" s="1149">
        <v>18</v>
      </c>
      <c r="B78" s="3451"/>
      <c r="C78" s="1063" t="s">
        <v>1526</v>
      </c>
      <c r="D78" s="1063" t="s">
        <v>1527</v>
      </c>
      <c r="E78" s="1134">
        <v>0.2</v>
      </c>
      <c r="F78" s="1149">
        <v>30</v>
      </c>
    </row>
    <row r="79" spans="1:6" s="1100" customFormat="1" ht="24">
      <c r="A79" s="1149">
        <v>19</v>
      </c>
      <c r="B79" s="3451"/>
      <c r="C79" s="1063" t="s">
        <v>1528</v>
      </c>
      <c r="D79" s="1063" t="s">
        <v>1529</v>
      </c>
      <c r="E79" s="1134">
        <v>0.5</v>
      </c>
      <c r="F79" s="1149">
        <v>80</v>
      </c>
    </row>
    <row r="80" spans="1:6" s="1100" customFormat="1" ht="36">
      <c r="A80" s="1149">
        <v>20</v>
      </c>
      <c r="B80" s="3451"/>
      <c r="C80" s="1063" t="s">
        <v>1530</v>
      </c>
      <c r="D80" s="1063" t="s">
        <v>1531</v>
      </c>
      <c r="E80" s="1134">
        <v>0.2</v>
      </c>
      <c r="F80" s="1149">
        <v>30</v>
      </c>
    </row>
    <row r="81" spans="1:6" s="1100" customFormat="1" ht="36">
      <c r="A81" s="1149">
        <v>21</v>
      </c>
      <c r="B81" s="3451"/>
      <c r="C81" s="1063" t="s">
        <v>1532</v>
      </c>
      <c r="D81" s="1063" t="s">
        <v>1533</v>
      </c>
      <c r="E81" s="1134">
        <v>0.2</v>
      </c>
      <c r="F81" s="1149">
        <v>30</v>
      </c>
    </row>
    <row r="82" spans="1:6" s="1100" customFormat="1" ht="48">
      <c r="A82" s="1149">
        <v>22</v>
      </c>
      <c r="B82" s="3451"/>
      <c r="C82" s="1063" t="s">
        <v>1534</v>
      </c>
      <c r="D82" s="1063" t="s">
        <v>1535</v>
      </c>
      <c r="E82" s="1134">
        <v>0.2</v>
      </c>
      <c r="F82" s="1149">
        <v>30</v>
      </c>
    </row>
    <row r="83" spans="1:6" s="1100" customFormat="1" ht="48">
      <c r="A83" s="1149">
        <v>23</v>
      </c>
      <c r="B83" s="3451"/>
      <c r="C83" s="1063" t="s">
        <v>1536</v>
      </c>
      <c r="D83" s="1063" t="s">
        <v>1537</v>
      </c>
      <c r="E83" s="1134">
        <v>0.2</v>
      </c>
      <c r="F83" s="1149">
        <v>30</v>
      </c>
    </row>
    <row r="84" spans="1:6" s="1100" customFormat="1" ht="36">
      <c r="A84" s="1149">
        <v>24</v>
      </c>
      <c r="B84" s="3451"/>
      <c r="C84" s="1063" t="s">
        <v>1538</v>
      </c>
      <c r="D84" s="1063" t="s">
        <v>1539</v>
      </c>
      <c r="E84" s="1134">
        <v>0.2</v>
      </c>
      <c r="F84" s="1149">
        <v>30</v>
      </c>
    </row>
    <row r="85" spans="1:6" s="1100" customFormat="1" ht="36">
      <c r="A85" s="1149">
        <v>25</v>
      </c>
      <c r="B85" s="3451"/>
      <c r="C85" s="1063" t="s">
        <v>1540</v>
      </c>
      <c r="D85" s="1063" t="s">
        <v>1541</v>
      </c>
      <c r="E85" s="1134">
        <v>0.5</v>
      </c>
      <c r="F85" s="1149">
        <v>80</v>
      </c>
    </row>
    <row r="86" spans="1:6" s="1100" customFormat="1" ht="36">
      <c r="A86" s="1149">
        <v>26</v>
      </c>
      <c r="B86" s="3451"/>
      <c r="C86" s="1063" t="s">
        <v>1542</v>
      </c>
      <c r="D86" s="1063" t="s">
        <v>1543</v>
      </c>
      <c r="E86" s="1134">
        <v>0.2</v>
      </c>
      <c r="F86" s="1149">
        <v>30</v>
      </c>
    </row>
    <row r="87" spans="1:6" s="1100" customFormat="1" ht="36">
      <c r="A87" s="1149">
        <v>27</v>
      </c>
      <c r="B87" s="3451"/>
      <c r="C87" s="1063" t="s">
        <v>1544</v>
      </c>
      <c r="D87" s="1063" t="s">
        <v>1545</v>
      </c>
      <c r="E87" s="1134">
        <v>0.2</v>
      </c>
      <c r="F87" s="1149">
        <v>30</v>
      </c>
    </row>
    <row r="88" spans="1:6" s="1100" customFormat="1" ht="36">
      <c r="A88" s="1149">
        <v>28</v>
      </c>
      <c r="B88" s="3451"/>
      <c r="C88" s="1063" t="s">
        <v>1546</v>
      </c>
      <c r="D88" s="1063" t="s">
        <v>1547</v>
      </c>
      <c r="E88" s="1134">
        <v>0.2</v>
      </c>
      <c r="F88" s="1149">
        <v>30</v>
      </c>
    </row>
    <row r="89" spans="1:6" s="1100" customFormat="1" ht="24">
      <c r="A89" s="1149">
        <v>29</v>
      </c>
      <c r="B89" s="3451"/>
      <c r="C89" s="1063" t="s">
        <v>1548</v>
      </c>
      <c r="D89" s="1063" t="s">
        <v>1549</v>
      </c>
      <c r="E89" s="1134">
        <v>0.2</v>
      </c>
      <c r="F89" s="1149">
        <v>30</v>
      </c>
    </row>
    <row r="90" spans="1:6" s="1100" customFormat="1" ht="24">
      <c r="A90" s="1149">
        <v>30</v>
      </c>
      <c r="B90" s="3451"/>
      <c r="C90" s="1063" t="s">
        <v>1550</v>
      </c>
      <c r="D90" s="1063" t="s">
        <v>1551</v>
      </c>
      <c r="E90" s="1134">
        <v>0.2</v>
      </c>
      <c r="F90" s="1149">
        <v>30</v>
      </c>
    </row>
    <row r="91" spans="1:6" s="1100" customFormat="1" ht="36">
      <c r="A91" s="1149">
        <v>31</v>
      </c>
      <c r="B91" s="3451"/>
      <c r="C91" s="1063" t="s">
        <v>1552</v>
      </c>
      <c r="D91" s="1063" t="s">
        <v>1553</v>
      </c>
      <c r="E91" s="1134">
        <v>0.2</v>
      </c>
      <c r="F91" s="1149">
        <v>30</v>
      </c>
    </row>
    <row r="92" spans="1:6" s="1100" customFormat="1" ht="24">
      <c r="A92" s="1149">
        <v>32</v>
      </c>
      <c r="B92" s="3451" t="s">
        <v>1554</v>
      </c>
      <c r="C92" s="1149" t="s">
        <v>1555</v>
      </c>
      <c r="D92" s="1063" t="s">
        <v>1556</v>
      </c>
      <c r="E92" s="1134">
        <v>0.2</v>
      </c>
      <c r="F92" s="1149">
        <v>30</v>
      </c>
    </row>
    <row r="93" spans="1:6" s="1100" customFormat="1" ht="36">
      <c r="A93" s="1149">
        <v>33</v>
      </c>
      <c r="B93" s="3451"/>
      <c r="C93" s="1149" t="s">
        <v>1557</v>
      </c>
      <c r="D93" s="1063" t="s">
        <v>1558</v>
      </c>
      <c r="E93" s="1134">
        <v>0.2</v>
      </c>
      <c r="F93" s="1149">
        <v>30</v>
      </c>
    </row>
    <row r="94" spans="1:6" s="1100" customFormat="1" ht="48">
      <c r="A94" s="1149">
        <v>34</v>
      </c>
      <c r="B94" s="3451"/>
      <c r="C94" s="1149" t="s">
        <v>1559</v>
      </c>
      <c r="D94" s="1063" t="s">
        <v>1560</v>
      </c>
      <c r="E94" s="1134">
        <v>0.2</v>
      </c>
      <c r="F94" s="1149">
        <v>30</v>
      </c>
    </row>
    <row r="95" spans="1:6" s="1100" customFormat="1" ht="36">
      <c r="A95" s="1149">
        <v>35</v>
      </c>
      <c r="B95" s="3451"/>
      <c r="C95" s="1149" t="s">
        <v>1561</v>
      </c>
      <c r="D95" s="1063" t="s">
        <v>1562</v>
      </c>
      <c r="E95" s="1134">
        <v>0.2</v>
      </c>
      <c r="F95" s="1149">
        <v>30</v>
      </c>
    </row>
    <row r="96" spans="1:6" s="1100" customFormat="1" ht="48">
      <c r="A96" s="1149">
        <v>36</v>
      </c>
      <c r="B96" s="3451"/>
      <c r="C96" s="1063" t="s">
        <v>1563</v>
      </c>
      <c r="D96" s="1063" t="s">
        <v>1564</v>
      </c>
      <c r="E96" s="1134">
        <v>0.2</v>
      </c>
      <c r="F96" s="1149">
        <v>30</v>
      </c>
    </row>
    <row r="97" spans="1:6" s="1100" customFormat="1" ht="36">
      <c r="A97" s="1149">
        <v>37</v>
      </c>
      <c r="B97" s="3451"/>
      <c r="C97" s="1149" t="s">
        <v>1565</v>
      </c>
      <c r="D97" s="1063" t="s">
        <v>1566</v>
      </c>
      <c r="E97" s="1134">
        <v>0.2</v>
      </c>
      <c r="F97" s="1149">
        <v>30</v>
      </c>
    </row>
    <row r="98" spans="1:6" s="1100" customFormat="1" ht="36">
      <c r="A98" s="1149">
        <v>38</v>
      </c>
      <c r="B98" s="3451"/>
      <c r="C98" s="1149" t="s">
        <v>1567</v>
      </c>
      <c r="D98" s="1063" t="s">
        <v>1568</v>
      </c>
      <c r="E98" s="1134">
        <v>0.2</v>
      </c>
      <c r="F98" s="1149">
        <v>30</v>
      </c>
    </row>
    <row r="99" spans="1:6" s="1100" customFormat="1" ht="36">
      <c r="A99" s="1149">
        <v>39</v>
      </c>
      <c r="B99" s="3451" t="s">
        <v>1569</v>
      </c>
      <c r="C99" s="1149" t="s">
        <v>1570</v>
      </c>
      <c r="D99" s="1063" t="s">
        <v>1571</v>
      </c>
      <c r="E99" s="1134">
        <v>0.3</v>
      </c>
      <c r="F99" s="1149">
        <v>50</v>
      </c>
    </row>
    <row r="100" spans="1:6" s="1100" customFormat="1" ht="24">
      <c r="A100" s="1149">
        <v>40</v>
      </c>
      <c r="B100" s="3451"/>
      <c r="C100" s="1149" t="s">
        <v>1572</v>
      </c>
      <c r="D100" s="1063" t="s">
        <v>1573</v>
      </c>
      <c r="E100" s="1134">
        <v>0.2</v>
      </c>
      <c r="F100" s="1149">
        <v>30</v>
      </c>
    </row>
    <row r="101" spans="1:6" s="1100" customFormat="1" ht="36">
      <c r="A101" s="1149">
        <v>41</v>
      </c>
      <c r="B101" s="3451"/>
      <c r="C101" s="1149" t="s">
        <v>1574</v>
      </c>
      <c r="D101" s="1063" t="s">
        <v>1571</v>
      </c>
      <c r="E101" s="1134">
        <v>0.2</v>
      </c>
      <c r="F101" s="1149">
        <v>30</v>
      </c>
    </row>
    <row r="102" spans="1:6" s="1100" customFormat="1" ht="48">
      <c r="A102" s="1149">
        <v>42</v>
      </c>
      <c r="B102" s="1149" t="s">
        <v>1575</v>
      </c>
      <c r="C102" s="1063" t="s">
        <v>1576</v>
      </c>
      <c r="D102" s="1063" t="s">
        <v>1577</v>
      </c>
      <c r="E102" s="1134">
        <v>0.2</v>
      </c>
      <c r="F102" s="1149">
        <v>30</v>
      </c>
    </row>
    <row r="103" spans="1:6" s="1100" customFormat="1" ht="24">
      <c r="A103" s="1149">
        <v>43</v>
      </c>
      <c r="B103" s="1149" t="s">
        <v>1578</v>
      </c>
      <c r="C103" s="1149" t="s">
        <v>1579</v>
      </c>
      <c r="D103" s="1063" t="s">
        <v>1580</v>
      </c>
      <c r="E103" s="1134">
        <v>0.2</v>
      </c>
      <c r="F103" s="1149">
        <v>30</v>
      </c>
    </row>
    <row r="104" spans="1:6" s="1100" customFormat="1" ht="36">
      <c r="A104" s="1149">
        <v>44</v>
      </c>
      <c r="B104" s="1149" t="s">
        <v>1581</v>
      </c>
      <c r="C104" s="1149" t="s">
        <v>1582</v>
      </c>
      <c r="D104" s="1063" t="s">
        <v>1583</v>
      </c>
      <c r="E104" s="1134">
        <v>0.2</v>
      </c>
      <c r="F104" s="1149">
        <v>30</v>
      </c>
    </row>
    <row r="105" spans="1:6" s="1100" customFormat="1" ht="36">
      <c r="A105" s="1149">
        <v>45</v>
      </c>
      <c r="B105" s="3451" t="s">
        <v>1584</v>
      </c>
      <c r="C105" s="1149" t="s">
        <v>1585</v>
      </c>
      <c r="D105" s="1063" t="s">
        <v>1586</v>
      </c>
      <c r="E105" s="1134">
        <v>0.2</v>
      </c>
      <c r="F105" s="1149">
        <v>30</v>
      </c>
    </row>
    <row r="106" spans="1:6" s="1100" customFormat="1" ht="36">
      <c r="A106" s="1149">
        <v>46</v>
      </c>
      <c r="B106" s="3451"/>
      <c r="C106" s="1149" t="s">
        <v>1587</v>
      </c>
      <c r="D106" s="1063" t="s">
        <v>1588</v>
      </c>
      <c r="E106" s="1134">
        <v>0.2</v>
      </c>
      <c r="F106" s="1149">
        <v>30</v>
      </c>
    </row>
    <row r="107" spans="1:6" s="1100" customFormat="1" ht="36">
      <c r="A107" s="1149">
        <v>47</v>
      </c>
      <c r="B107" s="3451" t="s">
        <v>1589</v>
      </c>
      <c r="C107" s="1149" t="s">
        <v>1590</v>
      </c>
      <c r="D107" s="1063" t="s">
        <v>1591</v>
      </c>
      <c r="E107" s="1134">
        <v>0.3</v>
      </c>
      <c r="F107" s="1149">
        <v>50</v>
      </c>
    </row>
    <row r="108" spans="1:6" s="1100" customFormat="1" ht="36">
      <c r="A108" s="1149">
        <v>48</v>
      </c>
      <c r="B108" s="3451"/>
      <c r="C108" s="1149" t="s">
        <v>1592</v>
      </c>
      <c r="D108" s="1063" t="s">
        <v>1593</v>
      </c>
      <c r="E108" s="1134">
        <v>0.2</v>
      </c>
      <c r="F108" s="1149">
        <v>30</v>
      </c>
    </row>
    <row r="109" spans="1:6" s="1100" customFormat="1" ht="36">
      <c r="A109" s="1149">
        <v>49</v>
      </c>
      <c r="B109" s="1149" t="s">
        <v>1594</v>
      </c>
      <c r="C109" s="1149" t="s">
        <v>1595</v>
      </c>
      <c r="D109" s="1063" t="s">
        <v>1596</v>
      </c>
      <c r="E109" s="1134">
        <v>0.2</v>
      </c>
      <c r="F109" s="1149">
        <v>30</v>
      </c>
    </row>
    <row r="110" spans="1:6" s="1100" customFormat="1" ht="36">
      <c r="A110" s="1149">
        <v>50</v>
      </c>
      <c r="B110" s="1149" t="s">
        <v>1597</v>
      </c>
      <c r="C110" s="1149" t="s">
        <v>1598</v>
      </c>
      <c r="D110" s="1063" t="s">
        <v>1599</v>
      </c>
      <c r="E110" s="1134">
        <v>0.2</v>
      </c>
      <c r="F110" s="1149">
        <v>30</v>
      </c>
    </row>
    <row r="111" spans="1:6" s="1100" customFormat="1" ht="36">
      <c r="A111" s="1149">
        <v>51</v>
      </c>
      <c r="B111" s="3451" t="s">
        <v>1600</v>
      </c>
      <c r="C111" s="1149" t="s">
        <v>1601</v>
      </c>
      <c r="D111" s="1063" t="s">
        <v>1602</v>
      </c>
      <c r="E111" s="1134">
        <v>0.2</v>
      </c>
      <c r="F111" s="1149">
        <v>30</v>
      </c>
    </row>
    <row r="112" spans="1:6" s="1100" customFormat="1" ht="24">
      <c r="A112" s="1149">
        <v>52</v>
      </c>
      <c r="B112" s="3451"/>
      <c r="C112" s="1149" t="s">
        <v>1603</v>
      </c>
      <c r="D112" s="1063" t="s">
        <v>1604</v>
      </c>
      <c r="E112" s="1134">
        <v>0.2</v>
      </c>
      <c r="F112" s="1149">
        <v>30</v>
      </c>
    </row>
    <row r="113" spans="1:14" s="1100" customFormat="1" ht="24">
      <c r="A113" s="1149">
        <v>53</v>
      </c>
      <c r="B113" s="3451"/>
      <c r="C113" s="1149" t="s">
        <v>1605</v>
      </c>
      <c r="D113" s="1063" t="s">
        <v>1606</v>
      </c>
      <c r="E113" s="1134">
        <v>0.2</v>
      </c>
      <c r="F113" s="1149">
        <v>30</v>
      </c>
    </row>
    <row r="114" spans="1:14" ht="36">
      <c r="A114" s="1149">
        <v>54</v>
      </c>
      <c r="B114" s="1149" t="s">
        <v>1607</v>
      </c>
      <c r="C114" s="1149" t="s">
        <v>1608</v>
      </c>
      <c r="D114" s="1063" t="s">
        <v>1609</v>
      </c>
      <c r="E114" s="1134">
        <v>0.2</v>
      </c>
      <c r="F114" s="1149">
        <v>30</v>
      </c>
    </row>
    <row r="115" spans="1:14" ht="24">
      <c r="A115" s="1149">
        <v>55</v>
      </c>
      <c r="B115" s="1149" t="s">
        <v>1610</v>
      </c>
      <c r="C115" s="1149" t="s">
        <v>1611</v>
      </c>
      <c r="D115" s="1063" t="s">
        <v>1612</v>
      </c>
      <c r="E115" s="1134">
        <v>0.2</v>
      </c>
      <c r="F115" s="1149">
        <v>30</v>
      </c>
    </row>
    <row r="116" spans="1:14" ht="24">
      <c r="A116" s="1149">
        <v>56</v>
      </c>
      <c r="B116" s="3451" t="s">
        <v>1613</v>
      </c>
      <c r="C116" s="1149" t="s">
        <v>1614</v>
      </c>
      <c r="D116" s="1063" t="s">
        <v>1615</v>
      </c>
      <c r="E116" s="1134">
        <v>0.2</v>
      </c>
      <c r="F116" s="1149">
        <v>30</v>
      </c>
    </row>
    <row r="117" spans="1:14" ht="36">
      <c r="A117" s="1149">
        <v>57</v>
      </c>
      <c r="B117" s="3451"/>
      <c r="C117" s="1149" t="s">
        <v>1616</v>
      </c>
      <c r="D117" s="1063" t="s">
        <v>1617</v>
      </c>
      <c r="E117" s="1134">
        <v>0.2</v>
      </c>
      <c r="F117" s="1149">
        <v>30</v>
      </c>
    </row>
    <row r="118" spans="1:14" ht="36">
      <c r="A118" s="1149">
        <v>58</v>
      </c>
      <c r="B118" s="1149" t="s">
        <v>1618</v>
      </c>
      <c r="C118" s="1149" t="s">
        <v>1619</v>
      </c>
      <c r="D118" s="1063" t="s">
        <v>1620</v>
      </c>
      <c r="E118" s="1134">
        <v>0.2</v>
      </c>
      <c r="F118" s="1149">
        <v>30</v>
      </c>
    </row>
    <row r="119" spans="1:14" ht="13.5">
      <c r="A119" s="1149"/>
      <c r="B119" s="1149"/>
      <c r="C119" s="1149"/>
      <c r="D119" s="1149"/>
      <c r="E119" s="1134"/>
      <c r="F119" s="1149"/>
    </row>
    <row r="121" spans="1:14" ht="19.5" customHeight="1">
      <c r="A121" s="3450" t="s">
        <v>1622</v>
      </c>
      <c r="B121" s="3450"/>
      <c r="C121" s="3450"/>
      <c r="D121" s="3450"/>
      <c r="E121" s="3450"/>
      <c r="F121" s="3450"/>
      <c r="G121" s="3450"/>
      <c r="H121" s="3450"/>
      <c r="I121" s="3450"/>
      <c r="J121" s="345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5" t="s">
        <v>1028</v>
      </c>
      <c r="B1" s="3455"/>
      <c r="C1" s="3455"/>
      <c r="D1" s="3455"/>
      <c r="E1" s="3455"/>
      <c r="F1" s="3455"/>
      <c r="H1" s="1065"/>
      <c r="I1" s="1066" t="s">
        <v>1029</v>
      </c>
      <c r="J1" s="1067" t="s">
        <v>1030</v>
      </c>
      <c r="K1" s="1067" t="s">
        <v>1031</v>
      </c>
      <c r="L1" s="1067" t="s">
        <v>1032</v>
      </c>
      <c r="M1" s="1067" t="s">
        <v>1033</v>
      </c>
      <c r="N1" s="1067" t="s">
        <v>1034</v>
      </c>
      <c r="O1" s="1067" t="s">
        <v>1035</v>
      </c>
      <c r="P1" s="1067" t="s">
        <v>1036</v>
      </c>
      <c r="Q1" s="1067" t="s">
        <v>1037</v>
      </c>
      <c r="R1" s="1067" t="s">
        <v>1038</v>
      </c>
      <c r="S1" s="1067" t="s">
        <v>1039</v>
      </c>
      <c r="T1" s="1068" t="s">
        <v>1040</v>
      </c>
    </row>
    <row r="2" spans="1:20" ht="14.25" thickBot="1">
      <c r="A2" s="3456" t="s">
        <v>1041</v>
      </c>
      <c r="B2" s="3456"/>
      <c r="C2" s="3456"/>
      <c r="D2" s="3456"/>
      <c r="E2" s="3456"/>
      <c r="F2" s="3456"/>
      <c r="I2" s="1069" t="s">
        <v>1042</v>
      </c>
      <c r="J2" s="1070" t="s">
        <v>1043</v>
      </c>
      <c r="K2" s="1070" t="s">
        <v>1044</v>
      </c>
      <c r="L2" s="1070" t="s">
        <v>1045</v>
      </c>
      <c r="M2" s="1070" t="s">
        <v>1046</v>
      </c>
      <c r="N2" s="1070" t="s">
        <v>1047</v>
      </c>
      <c r="O2" s="1070" t="s">
        <v>1048</v>
      </c>
      <c r="P2" s="1070" t="s">
        <v>1049</v>
      </c>
      <c r="Q2" s="1070" t="s">
        <v>1050</v>
      </c>
      <c r="R2" s="1070" t="s">
        <v>1051</v>
      </c>
      <c r="S2" s="1070" t="s">
        <v>1052</v>
      </c>
      <c r="T2" s="1070" t="s">
        <v>1053</v>
      </c>
    </row>
    <row r="3" spans="1:20" s="1065" customFormat="1" ht="19.5" customHeight="1">
      <c r="A3" s="3457" t="s">
        <v>1054</v>
      </c>
      <c r="B3" s="1071"/>
      <c r="C3" s="1072" t="s">
        <v>1055</v>
      </c>
      <c r="D3" s="1072" t="s">
        <v>1056</v>
      </c>
      <c r="E3" s="1072" t="s">
        <v>1057</v>
      </c>
      <c r="F3" s="1072" t="s">
        <v>1058</v>
      </c>
      <c r="G3" s="1073"/>
      <c r="I3" s="1069" t="s">
        <v>1059</v>
      </c>
      <c r="J3" s="1070" t="s">
        <v>1060</v>
      </c>
      <c r="K3" s="1070" t="s">
        <v>1061</v>
      </c>
      <c r="L3" s="1070" t="s">
        <v>1062</v>
      </c>
      <c r="M3" s="1070" t="s">
        <v>1063</v>
      </c>
      <c r="N3" s="1070" t="s">
        <v>1064</v>
      </c>
      <c r="O3" s="1070" t="s">
        <v>1065</v>
      </c>
      <c r="P3" s="1070" t="s">
        <v>1066</v>
      </c>
      <c r="Q3" s="1070" t="s">
        <v>1067</v>
      </c>
      <c r="R3" s="1070" t="s">
        <v>1068</v>
      </c>
      <c r="S3" s="1070" t="s">
        <v>1069</v>
      </c>
      <c r="T3" s="1070" t="s">
        <v>1070</v>
      </c>
    </row>
    <row r="4" spans="1:20" s="1065" customFormat="1" ht="19.5" customHeight="1" thickBot="1">
      <c r="A4" s="3458"/>
      <c r="B4" s="1074" t="s">
        <v>1071</v>
      </c>
      <c r="C4" s="1074" t="s">
        <v>1072</v>
      </c>
      <c r="D4" s="1074" t="s">
        <v>1072</v>
      </c>
      <c r="E4" s="1074" t="s">
        <v>1072</v>
      </c>
      <c r="F4" s="1075" t="s">
        <v>1072</v>
      </c>
      <c r="G4" s="1073"/>
      <c r="I4" s="1069" t="s">
        <v>1073</v>
      </c>
      <c r="J4" s="1070" t="s">
        <v>1074</v>
      </c>
      <c r="K4" s="1070" t="s">
        <v>1075</v>
      </c>
      <c r="L4" s="1070" t="s">
        <v>1076</v>
      </c>
      <c r="M4" s="1070" t="s">
        <v>1077</v>
      </c>
      <c r="N4" s="1070" t="s">
        <v>1078</v>
      </c>
      <c r="O4" s="1070" t="s">
        <v>1079</v>
      </c>
      <c r="P4" s="1070" t="s">
        <v>1080</v>
      </c>
      <c r="Q4" s="1070" t="s">
        <v>1081</v>
      </c>
      <c r="R4" s="1070" t="s">
        <v>1082</v>
      </c>
      <c r="S4" s="1070" t="s">
        <v>1083</v>
      </c>
      <c r="T4" s="1070" t="s">
        <v>1084</v>
      </c>
    </row>
    <row r="5" spans="1:20" ht="14.25" customHeight="1" thickBot="1">
      <c r="A5" s="1076" t="s">
        <v>1085</v>
      </c>
      <c r="B5" s="1077" t="s">
        <v>1042</v>
      </c>
      <c r="C5" s="1077">
        <v>29530</v>
      </c>
      <c r="D5" s="1077">
        <v>28130</v>
      </c>
      <c r="E5" s="1077">
        <v>27930</v>
      </c>
      <c r="F5" s="1078">
        <v>11300</v>
      </c>
      <c r="G5" s="1079" t="s">
        <v>1029</v>
      </c>
      <c r="H5" s="1080">
        <f>SUMPRODUCT((B5:B9=基准地价!I2)*(C3:F3=基准地价!E2)*(C5:F9))</f>
        <v>0</v>
      </c>
      <c r="I5" s="1069" t="s">
        <v>1086</v>
      </c>
      <c r="J5" s="1070" t="s">
        <v>1087</v>
      </c>
      <c r="K5" s="1070" t="s">
        <v>1088</v>
      </c>
      <c r="L5" s="1070" t="s">
        <v>1089</v>
      </c>
      <c r="M5" s="1070" t="s">
        <v>1090</v>
      </c>
      <c r="N5" s="1070" t="s">
        <v>1091</v>
      </c>
      <c r="O5" s="1070" t="s">
        <v>1092</v>
      </c>
      <c r="P5" s="1070" t="s">
        <v>1093</v>
      </c>
      <c r="Q5" s="1070" t="s">
        <v>1094</v>
      </c>
      <c r="R5" s="1070" t="s">
        <v>1095</v>
      </c>
      <c r="S5" s="1070" t="s">
        <v>1096</v>
      </c>
      <c r="T5" s="1070" t="s">
        <v>1097</v>
      </c>
    </row>
    <row r="6" spans="1:20" ht="14.25" customHeight="1" thickBot="1">
      <c r="A6" s="1076" t="s">
        <v>1085</v>
      </c>
      <c r="B6" s="1070" t="s">
        <v>1098</v>
      </c>
      <c r="C6" s="1070">
        <v>30290</v>
      </c>
      <c r="D6" s="1070">
        <v>29210</v>
      </c>
      <c r="E6" s="1070">
        <v>28860</v>
      </c>
      <c r="F6" s="1081">
        <v>12600</v>
      </c>
      <c r="G6" s="1082" t="s">
        <v>1099</v>
      </c>
      <c r="H6" s="1083">
        <f>SUMPRODUCT((B10:B28=基准地价!I2)*(C3:F3=基准地价!E2)*(C10:F28))</f>
        <v>0</v>
      </c>
      <c r="I6" s="1069" t="s">
        <v>1100</v>
      </c>
      <c r="J6" s="1070" t="s">
        <v>1101</v>
      </c>
      <c r="K6" s="1070" t="s">
        <v>1102</v>
      </c>
      <c r="L6" s="1070" t="s">
        <v>1103</v>
      </c>
      <c r="M6" s="1070" t="s">
        <v>1104</v>
      </c>
      <c r="N6" s="1070" t="s">
        <v>1105</v>
      </c>
      <c r="O6" s="1070" t="s">
        <v>1106</v>
      </c>
      <c r="P6" s="1070" t="s">
        <v>1107</v>
      </c>
      <c r="Q6" s="1070" t="s">
        <v>1108</v>
      </c>
      <c r="R6" s="1070" t="s">
        <v>1109</v>
      </c>
      <c r="S6" s="1070" t="s">
        <v>1110</v>
      </c>
      <c r="T6" s="1070" t="s">
        <v>1111</v>
      </c>
    </row>
    <row r="7" spans="1:20" ht="14.25" customHeight="1" thickBot="1">
      <c r="A7" s="1076" t="s">
        <v>1085</v>
      </c>
      <c r="B7" s="1084" t="s">
        <v>1073</v>
      </c>
      <c r="C7" s="1070">
        <v>29350</v>
      </c>
      <c r="D7" s="1070">
        <v>28410</v>
      </c>
      <c r="E7" s="1070">
        <v>27990</v>
      </c>
      <c r="F7" s="1081">
        <v>12300</v>
      </c>
      <c r="G7" s="1082" t="s">
        <v>898</v>
      </c>
      <c r="H7" s="1083">
        <f>SUMPRODUCT((B29:B48=基准地价!I2)*(C3:F3=基准地价!E2)*(C29:F48))</f>
        <v>0</v>
      </c>
      <c r="J7" s="1070" t="s">
        <v>1112</v>
      </c>
      <c r="K7" s="1070" t="s">
        <v>1113</v>
      </c>
      <c r="L7" s="1070" t="s">
        <v>1114</v>
      </c>
      <c r="M7" s="1070" t="s">
        <v>1115</v>
      </c>
      <c r="N7" s="1070" t="s">
        <v>1116</v>
      </c>
      <c r="O7" s="1070" t="s">
        <v>1117</v>
      </c>
      <c r="P7" s="1070" t="s">
        <v>1118</v>
      </c>
      <c r="Q7" s="1070" t="s">
        <v>1119</v>
      </c>
      <c r="R7" s="1070" t="s">
        <v>1120</v>
      </c>
      <c r="S7" s="1070" t="s">
        <v>1121</v>
      </c>
      <c r="T7" s="1084" t="s">
        <v>1122</v>
      </c>
    </row>
    <row r="8" spans="1:20" ht="14.25" customHeight="1" thickBot="1">
      <c r="A8" s="1076" t="s">
        <v>1085</v>
      </c>
      <c r="B8" s="1070" t="s">
        <v>1086</v>
      </c>
      <c r="C8" s="1070">
        <v>30890</v>
      </c>
      <c r="D8" s="1070">
        <v>29780</v>
      </c>
      <c r="E8" s="1070">
        <v>29270</v>
      </c>
      <c r="F8" s="1081">
        <v>11600</v>
      </c>
      <c r="G8" s="1082" t="s">
        <v>899</v>
      </c>
      <c r="H8" s="1083">
        <f>SUMPRODUCT((B49:B75=基准地价!I2)*(C3:F3=基准地价!E2)*(C49:F75))</f>
        <v>0</v>
      </c>
      <c r="J8" s="1070" t="s">
        <v>1123</v>
      </c>
      <c r="K8" s="1070" t="s">
        <v>1124</v>
      </c>
      <c r="L8" s="1070" t="s">
        <v>1125</v>
      </c>
      <c r="M8" s="1070" t="s">
        <v>1126</v>
      </c>
      <c r="N8" s="1070" t="s">
        <v>1127</v>
      </c>
      <c r="O8" s="1070" t="s">
        <v>1128</v>
      </c>
      <c r="P8" s="1070" t="s">
        <v>1129</v>
      </c>
      <c r="Q8" s="1070" t="s">
        <v>1130</v>
      </c>
      <c r="R8" s="1070" t="s">
        <v>1131</v>
      </c>
      <c r="S8" s="1070" t="s">
        <v>1132</v>
      </c>
      <c r="T8" s="1070" t="s">
        <v>1133</v>
      </c>
    </row>
    <row r="9" spans="1:20" ht="14.25" customHeight="1" thickBot="1">
      <c r="A9" s="1076" t="s">
        <v>1085</v>
      </c>
      <c r="B9" s="1085" t="s">
        <v>1100</v>
      </c>
      <c r="C9" s="1086">
        <v>28140</v>
      </c>
      <c r="D9" s="1086"/>
      <c r="E9" s="1086"/>
      <c r="F9" s="1087"/>
      <c r="G9" s="1082" t="s">
        <v>900</v>
      </c>
      <c r="H9" s="1083">
        <f>SUMPRODUCT((B76:B109=基准地价!I2)*(C3:F3=基准地价!E2)*(C76:F109))</f>
        <v>0</v>
      </c>
      <c r="J9" s="1070" t="s">
        <v>1134</v>
      </c>
      <c r="K9" s="1070" t="s">
        <v>1135</v>
      </c>
      <c r="L9" s="1070" t="s">
        <v>1136</v>
      </c>
      <c r="M9" s="1070" t="s">
        <v>1137</v>
      </c>
      <c r="N9" s="1070" t="s">
        <v>1138</v>
      </c>
      <c r="O9" s="1070" t="s">
        <v>1139</v>
      </c>
      <c r="P9" s="1070" t="s">
        <v>1140</v>
      </c>
      <c r="Q9" s="1070" t="s">
        <v>1141</v>
      </c>
      <c r="R9" s="1070" t="s">
        <v>1142</v>
      </c>
      <c r="S9" s="1070" t="s">
        <v>1143</v>
      </c>
    </row>
    <row r="10" spans="1:20" ht="14.25" customHeight="1" thickBot="1">
      <c r="A10" s="1076" t="s">
        <v>1144</v>
      </c>
      <c r="B10" s="1077" t="s">
        <v>1145</v>
      </c>
      <c r="C10" s="1077">
        <v>27450</v>
      </c>
      <c r="D10" s="1077">
        <v>26180</v>
      </c>
      <c r="E10" s="1077">
        <v>25980</v>
      </c>
      <c r="F10" s="1078">
        <v>8910</v>
      </c>
      <c r="G10" s="1082" t="s">
        <v>901</v>
      </c>
      <c r="H10" s="1083">
        <f>SUMPRODUCT((B110:B157=基准地价!I2)*(C3:F3=基准地价!E2)*(C110:F157))</f>
        <v>0</v>
      </c>
      <c r="J10" s="1070" t="s">
        <v>1146</v>
      </c>
      <c r="K10" s="1070" t="s">
        <v>1147</v>
      </c>
      <c r="L10" s="1070" t="s">
        <v>1148</v>
      </c>
      <c r="M10" s="1070" t="s">
        <v>1149</v>
      </c>
      <c r="N10" s="1070" t="s">
        <v>1150</v>
      </c>
      <c r="O10" s="1070" t="s">
        <v>1151</v>
      </c>
      <c r="P10" s="1070" t="s">
        <v>1152</v>
      </c>
      <c r="Q10" s="1070" t="s">
        <v>1153</v>
      </c>
      <c r="R10" s="1070" t="s">
        <v>1154</v>
      </c>
      <c r="S10" s="1070" t="s">
        <v>1155</v>
      </c>
    </row>
    <row r="11" spans="1:20" ht="14.25" customHeight="1" thickBot="1">
      <c r="A11" s="1076" t="s">
        <v>1144</v>
      </c>
      <c r="B11" s="1084" t="s">
        <v>1060</v>
      </c>
      <c r="C11" s="1070">
        <v>22950</v>
      </c>
      <c r="D11" s="1070">
        <v>22630</v>
      </c>
      <c r="E11" s="1070">
        <v>22030</v>
      </c>
      <c r="F11" s="1088">
        <v>8330</v>
      </c>
      <c r="G11" s="1082" t="s">
        <v>902</v>
      </c>
      <c r="H11" s="1083">
        <f>SUMPRODUCT((B158:B205=基准地价!I2)*(C3:F3=基准地价!E2)*(C158:F205))</f>
        <v>0</v>
      </c>
      <c r="J11" s="1070" t="s">
        <v>1156</v>
      </c>
      <c r="K11" s="1070" t="s">
        <v>1157</v>
      </c>
      <c r="L11" s="1070" t="s">
        <v>1158</v>
      </c>
      <c r="M11" s="1070" t="s">
        <v>1159</v>
      </c>
      <c r="N11" s="1070" t="s">
        <v>1160</v>
      </c>
      <c r="O11" s="1070" t="s">
        <v>1161</v>
      </c>
      <c r="P11" s="1070" t="s">
        <v>1162</v>
      </c>
      <c r="Q11" s="1070" t="s">
        <v>1163</v>
      </c>
      <c r="R11" s="1070" t="s">
        <v>1164</v>
      </c>
      <c r="S11" s="1070" t="s">
        <v>1165</v>
      </c>
    </row>
    <row r="12" spans="1:20" ht="14.25" customHeight="1" thickBot="1">
      <c r="A12" s="1076" t="s">
        <v>1144</v>
      </c>
      <c r="B12" s="1084" t="s">
        <v>1074</v>
      </c>
      <c r="C12" s="1070">
        <v>24940</v>
      </c>
      <c r="D12" s="1070">
        <v>23180</v>
      </c>
      <c r="E12" s="1070">
        <v>22910</v>
      </c>
      <c r="F12" s="1088">
        <v>7180</v>
      </c>
      <c r="G12" s="1082" t="s">
        <v>903</v>
      </c>
      <c r="H12" s="1083">
        <f>SUMPRODUCT((B206:B244=基准地价!I2)*(C3:F3=基准地价!E2)*(C206:F244))</f>
        <v>0</v>
      </c>
      <c r="J12" s="1070" t="s">
        <v>1166</v>
      </c>
      <c r="K12" s="1070" t="s">
        <v>1167</v>
      </c>
      <c r="L12" s="1070" t="s">
        <v>1168</v>
      </c>
      <c r="M12" s="1070" t="s">
        <v>1169</v>
      </c>
      <c r="N12" s="1070" t="s">
        <v>1170</v>
      </c>
      <c r="O12" s="1070" t="s">
        <v>1171</v>
      </c>
      <c r="P12" s="1070" t="s">
        <v>1172</v>
      </c>
      <c r="Q12" s="1070" t="s">
        <v>1173</v>
      </c>
      <c r="R12" s="1070" t="s">
        <v>1174</v>
      </c>
      <c r="S12" s="1070" t="s">
        <v>1175</v>
      </c>
    </row>
    <row r="13" spans="1:20" ht="14.25" customHeight="1" thickBot="1">
      <c r="A13" s="1076" t="s">
        <v>1144</v>
      </c>
      <c r="B13" s="1084" t="s">
        <v>1087</v>
      </c>
      <c r="C13" s="1070">
        <v>24140</v>
      </c>
      <c r="D13" s="1070">
        <v>22270</v>
      </c>
      <c r="E13" s="1070">
        <v>21950</v>
      </c>
      <c r="F13" s="1088">
        <v>7600</v>
      </c>
      <c r="G13" s="1082" t="s">
        <v>904</v>
      </c>
      <c r="H13" s="1083">
        <f>SUMPRODUCT((B245:B289=基准地价!I2)*(C3:F3=基准地价!E2)*(C245:F289))</f>
        <v>0</v>
      </c>
      <c r="J13" s="1070" t="s">
        <v>1176</v>
      </c>
      <c r="K13" s="1070" t="s">
        <v>1177</v>
      </c>
      <c r="L13" s="1070" t="s">
        <v>1178</v>
      </c>
      <c r="M13" s="1070" t="s">
        <v>1179</v>
      </c>
      <c r="N13" s="1070" t="s">
        <v>1180</v>
      </c>
      <c r="O13" s="1070" t="s">
        <v>1181</v>
      </c>
      <c r="P13" s="1070" t="s">
        <v>1182</v>
      </c>
      <c r="Q13" s="1070" t="s">
        <v>1183</v>
      </c>
      <c r="R13" s="1070" t="s">
        <v>1184</v>
      </c>
      <c r="S13" s="1070" t="s">
        <v>1185</v>
      </c>
    </row>
    <row r="14" spans="1:20" ht="14.25" customHeight="1" thickBot="1">
      <c r="A14" s="1076" t="s">
        <v>1144</v>
      </c>
      <c r="B14" s="1084" t="s">
        <v>1101</v>
      </c>
      <c r="C14" s="1070">
        <v>25600</v>
      </c>
      <c r="D14" s="1070">
        <v>22260</v>
      </c>
      <c r="E14" s="1070">
        <v>22110</v>
      </c>
      <c r="F14" s="1088">
        <v>7630</v>
      </c>
      <c r="G14" s="1082" t="s">
        <v>905</v>
      </c>
      <c r="H14" s="1083">
        <f>SUMPRODUCT((B290:B316=基准地价!I2)*(C3:F3=基准地价!E2)*(C290:F316))</f>
        <v>0</v>
      </c>
      <c r="J14" s="1070" t="s">
        <v>1186</v>
      </c>
      <c r="K14" s="1070" t="s">
        <v>1187</v>
      </c>
      <c r="L14" s="1070" t="s">
        <v>1188</v>
      </c>
      <c r="M14" s="1070" t="s">
        <v>1189</v>
      </c>
      <c r="N14" s="1070" t="s">
        <v>1190</v>
      </c>
      <c r="O14" s="1070" t="s">
        <v>1191</v>
      </c>
      <c r="P14" s="1070" t="s">
        <v>1192</v>
      </c>
      <c r="Q14" s="1070" t="s">
        <v>1193</v>
      </c>
      <c r="R14" s="1070" t="s">
        <v>1194</v>
      </c>
      <c r="S14" s="1070" t="s">
        <v>1195</v>
      </c>
    </row>
    <row r="15" spans="1:20" ht="14.25" customHeight="1" thickBot="1">
      <c r="A15" s="1076" t="s">
        <v>1144</v>
      </c>
      <c r="B15" s="1084" t="s">
        <v>1112</v>
      </c>
      <c r="C15" s="1070">
        <v>24760</v>
      </c>
      <c r="D15" s="1070">
        <v>24440</v>
      </c>
      <c r="E15" s="1070">
        <v>24130</v>
      </c>
      <c r="F15" s="1088">
        <v>9480</v>
      </c>
      <c r="G15" s="1082" t="s">
        <v>906</v>
      </c>
      <c r="H15" s="1083">
        <f>SUMPRODUCT((B317:B337=基准地价!I2)*(C3:F3=基准地价!E2)*(C317:F337))</f>
        <v>0</v>
      </c>
      <c r="J15" s="1070" t="s">
        <v>1196</v>
      </c>
      <c r="K15" s="1070" t="s">
        <v>1197</v>
      </c>
      <c r="L15" s="1070" t="s">
        <v>1198</v>
      </c>
      <c r="M15" s="1070" t="s">
        <v>1199</v>
      </c>
      <c r="N15" s="1070" t="s">
        <v>1200</v>
      </c>
      <c r="O15" s="1070" t="s">
        <v>1201</v>
      </c>
      <c r="P15" s="1070" t="s">
        <v>1202</v>
      </c>
      <c r="Q15" s="1070" t="s">
        <v>1203</v>
      </c>
      <c r="R15" s="1070" t="s">
        <v>1204</v>
      </c>
      <c r="S15" s="1070" t="s">
        <v>1205</v>
      </c>
    </row>
    <row r="16" spans="1:20" ht="14.25" customHeight="1" thickBot="1">
      <c r="A16" s="1076" t="s">
        <v>1144</v>
      </c>
      <c r="B16" s="1084" t="s">
        <v>1123</v>
      </c>
      <c r="C16" s="1070">
        <v>22220</v>
      </c>
      <c r="D16" s="1070">
        <v>22310</v>
      </c>
      <c r="E16" s="1070">
        <v>22000</v>
      </c>
      <c r="F16" s="1088">
        <v>8900</v>
      </c>
      <c r="G16" s="1089" t="s">
        <v>907</v>
      </c>
      <c r="H16" s="1090">
        <f>SUMPRODUCT((B338:B344=基准地价!I2)*(C3:F3=基准地价!E2)*(C338:F344))</f>
        <v>0</v>
      </c>
      <c r="J16" s="1070" t="s">
        <v>1206</v>
      </c>
      <c r="K16" s="1070" t="s">
        <v>1207</v>
      </c>
      <c r="L16" s="1070" t="s">
        <v>1208</v>
      </c>
      <c r="M16" s="1070" t="s">
        <v>1209</v>
      </c>
      <c r="N16" s="1070" t="s">
        <v>1210</v>
      </c>
      <c r="O16" s="1070" t="s">
        <v>1211</v>
      </c>
      <c r="P16" s="1070" t="s">
        <v>1212</v>
      </c>
      <c r="Q16" s="1070" t="s">
        <v>1213</v>
      </c>
      <c r="R16" s="1070" t="s">
        <v>1214</v>
      </c>
      <c r="S16" s="1070" t="s">
        <v>1215</v>
      </c>
    </row>
    <row r="17" spans="1:19" ht="14.25" customHeight="1" thickBot="1">
      <c r="A17" s="1076" t="s">
        <v>1144</v>
      </c>
      <c r="B17" s="1084" t="s">
        <v>1134</v>
      </c>
      <c r="C17" s="1070">
        <v>24700</v>
      </c>
      <c r="D17" s="1070">
        <v>25150</v>
      </c>
      <c r="E17" s="1070">
        <v>24700</v>
      </c>
      <c r="F17" s="1091"/>
      <c r="H17" s="1092"/>
      <c r="J17" s="1070" t="s">
        <v>1216</v>
      </c>
      <c r="K17" s="1070" t="s">
        <v>1217</v>
      </c>
      <c r="L17" s="1070" t="s">
        <v>1218</v>
      </c>
      <c r="M17" s="1070" t="s">
        <v>1219</v>
      </c>
      <c r="N17" s="1070" t="s">
        <v>1220</v>
      </c>
      <c r="O17" s="1070" t="s">
        <v>1221</v>
      </c>
      <c r="P17" s="1070" t="s">
        <v>1222</v>
      </c>
      <c r="Q17" s="1070" t="s">
        <v>1223</v>
      </c>
      <c r="R17" s="1070" t="s">
        <v>1224</v>
      </c>
      <c r="S17" s="1070" t="s">
        <v>1225</v>
      </c>
    </row>
    <row r="18" spans="1:19" ht="14.25" customHeight="1" thickBot="1">
      <c r="A18" s="1076" t="s">
        <v>1144</v>
      </c>
      <c r="B18" s="1084" t="s">
        <v>1146</v>
      </c>
      <c r="C18" s="1070">
        <v>22350</v>
      </c>
      <c r="D18" s="1070">
        <v>24340</v>
      </c>
      <c r="E18" s="1070">
        <v>24100</v>
      </c>
      <c r="F18" s="1091"/>
      <c r="H18" s="1092"/>
      <c r="J18" s="1070" t="s">
        <v>1226</v>
      </c>
      <c r="K18" s="1070" t="s">
        <v>1227</v>
      </c>
      <c r="L18" s="1070" t="s">
        <v>1228</v>
      </c>
      <c r="M18" s="1070" t="s">
        <v>1229</v>
      </c>
      <c r="N18" s="1070" t="s">
        <v>1230</v>
      </c>
      <c r="O18" s="1070" t="s">
        <v>1231</v>
      </c>
      <c r="P18" s="1070" t="s">
        <v>1232</v>
      </c>
      <c r="Q18" s="1070" t="s">
        <v>1233</v>
      </c>
      <c r="R18" s="1070" t="s">
        <v>1234</v>
      </c>
      <c r="S18" s="1070" t="s">
        <v>1235</v>
      </c>
    </row>
    <row r="19" spans="1:19" ht="14.25" customHeight="1" thickBot="1">
      <c r="A19" s="1076" t="s">
        <v>1144</v>
      </c>
      <c r="B19" s="1084" t="s">
        <v>1156</v>
      </c>
      <c r="C19" s="1070">
        <v>23430</v>
      </c>
      <c r="D19" s="1070">
        <v>21580</v>
      </c>
      <c r="E19" s="1070">
        <v>21350</v>
      </c>
      <c r="F19" s="1091"/>
      <c r="H19" s="1092"/>
      <c r="J19" s="1070" t="s">
        <v>1236</v>
      </c>
      <c r="K19" s="1070" t="s">
        <v>1237</v>
      </c>
      <c r="L19" s="1070" t="s">
        <v>1238</v>
      </c>
      <c r="M19" s="1070" t="s">
        <v>1239</v>
      </c>
      <c r="N19" s="1070" t="s">
        <v>1240</v>
      </c>
      <c r="O19" s="1070" t="s">
        <v>1241</v>
      </c>
      <c r="P19" s="1070" t="s">
        <v>1242</v>
      </c>
      <c r="Q19" s="1070" t="s">
        <v>1243</v>
      </c>
      <c r="R19" s="1070" t="s">
        <v>1244</v>
      </c>
      <c r="S19" s="1070" t="s">
        <v>1245</v>
      </c>
    </row>
    <row r="20" spans="1:19" ht="14.25" customHeight="1" thickBot="1">
      <c r="A20" s="1076" t="s">
        <v>1144</v>
      </c>
      <c r="B20" s="1084" t="s">
        <v>1166</v>
      </c>
      <c r="C20" s="1070">
        <v>27660</v>
      </c>
      <c r="D20" s="1070">
        <v>24240</v>
      </c>
      <c r="E20" s="1070">
        <v>24020</v>
      </c>
      <c r="F20" s="1091"/>
      <c r="J20" s="1070" t="s">
        <v>1246</v>
      </c>
      <c r="K20" s="1070" t="s">
        <v>1247</v>
      </c>
      <c r="L20" s="1070" t="s">
        <v>1248</v>
      </c>
      <c r="M20" s="1070" t="s">
        <v>1249</v>
      </c>
      <c r="N20" s="1070" t="s">
        <v>1250</v>
      </c>
      <c r="O20" s="1070" t="s">
        <v>1251</v>
      </c>
      <c r="P20" s="1070" t="s">
        <v>1252</v>
      </c>
      <c r="Q20" s="1070" t="s">
        <v>1253</v>
      </c>
      <c r="R20" s="1070" t="s">
        <v>1254</v>
      </c>
      <c r="S20" s="1070" t="s">
        <v>1255</v>
      </c>
    </row>
    <row r="21" spans="1:19" ht="14.25" customHeight="1" thickBot="1">
      <c r="A21" s="1076" t="s">
        <v>1144</v>
      </c>
      <c r="B21" s="1084" t="s">
        <v>1176</v>
      </c>
      <c r="C21" s="1070">
        <v>24720</v>
      </c>
      <c r="D21" s="1070">
        <v>21670</v>
      </c>
      <c r="E21" s="1070">
        <v>21510</v>
      </c>
      <c r="F21" s="1091"/>
      <c r="K21" s="1070" t="s">
        <v>1256</v>
      </c>
      <c r="L21" s="1070" t="s">
        <v>1257</v>
      </c>
      <c r="M21" s="1070" t="s">
        <v>1258</v>
      </c>
      <c r="N21" s="1070" t="s">
        <v>1259</v>
      </c>
      <c r="O21" s="1070" t="s">
        <v>1260</v>
      </c>
      <c r="P21" s="1070" t="s">
        <v>1261</v>
      </c>
      <c r="Q21" s="1070" t="s">
        <v>1262</v>
      </c>
      <c r="R21" s="1070" t="s">
        <v>1263</v>
      </c>
      <c r="S21" s="1070" t="s">
        <v>1264</v>
      </c>
    </row>
    <row r="22" spans="1:19" ht="14.25" customHeight="1" thickBot="1">
      <c r="A22" s="1076" t="s">
        <v>1144</v>
      </c>
      <c r="B22" s="1084" t="s">
        <v>1265</v>
      </c>
      <c r="C22" s="1070">
        <v>26530</v>
      </c>
      <c r="D22" s="1070">
        <v>22980</v>
      </c>
      <c r="E22" s="1070">
        <v>22650</v>
      </c>
      <c r="F22" s="1091"/>
      <c r="L22" s="1070" t="s">
        <v>1266</v>
      </c>
      <c r="M22" s="1070" t="s">
        <v>1267</v>
      </c>
      <c r="N22" s="1070" t="s">
        <v>1268</v>
      </c>
      <c r="O22" s="1070" t="s">
        <v>1269</v>
      </c>
      <c r="P22" s="1070" t="s">
        <v>1270</v>
      </c>
      <c r="Q22" s="1070" t="s">
        <v>1271</v>
      </c>
      <c r="R22" s="1070" t="s">
        <v>1272</v>
      </c>
      <c r="S22" s="1084" t="s">
        <v>1273</v>
      </c>
    </row>
    <row r="23" spans="1:19" ht="14.25" customHeight="1" thickBot="1">
      <c r="A23" s="1076" t="s">
        <v>1144</v>
      </c>
      <c r="B23" s="1084" t="s">
        <v>1196</v>
      </c>
      <c r="C23" s="1070">
        <v>24700</v>
      </c>
      <c r="D23" s="1070">
        <v>27290</v>
      </c>
      <c r="E23" s="1070">
        <v>26710</v>
      </c>
      <c r="F23" s="1091"/>
      <c r="L23" s="1070" t="s">
        <v>1274</v>
      </c>
      <c r="M23" s="1070" t="s">
        <v>1275</v>
      </c>
      <c r="N23" s="1070" t="s">
        <v>1276</v>
      </c>
      <c r="O23" s="1070" t="s">
        <v>1277</v>
      </c>
      <c r="P23" s="1070" t="s">
        <v>1278</v>
      </c>
      <c r="Q23" s="1070" t="s">
        <v>1279</v>
      </c>
      <c r="R23" s="1070" t="s">
        <v>1280</v>
      </c>
    </row>
    <row r="24" spans="1:19" ht="14.25" customHeight="1" thickBot="1">
      <c r="A24" s="1076" t="s">
        <v>1144</v>
      </c>
      <c r="B24" s="1084" t="s">
        <v>1206</v>
      </c>
      <c r="C24" s="1070">
        <v>23070</v>
      </c>
      <c r="D24" s="1070">
        <v>24130</v>
      </c>
      <c r="E24" s="1070">
        <v>23860</v>
      </c>
      <c r="F24" s="1091"/>
      <c r="L24" s="1070" t="s">
        <v>1281</v>
      </c>
      <c r="M24" s="1070" t="s">
        <v>1282</v>
      </c>
      <c r="N24" s="1070" t="s">
        <v>1283</v>
      </c>
      <c r="O24" s="1070" t="s">
        <v>1284</v>
      </c>
      <c r="P24" s="1070" t="s">
        <v>1285</v>
      </c>
      <c r="Q24" s="1070" t="s">
        <v>1286</v>
      </c>
      <c r="R24" s="1070" t="s">
        <v>1287</v>
      </c>
    </row>
    <row r="25" spans="1:19" ht="14.25" customHeight="1" thickBot="1">
      <c r="A25" s="1076" t="s">
        <v>1144</v>
      </c>
      <c r="B25" s="1084" t="s">
        <v>1216</v>
      </c>
      <c r="C25" s="1070">
        <v>27550</v>
      </c>
      <c r="D25" s="1070">
        <v>25850</v>
      </c>
      <c r="E25" s="1070">
        <v>25340</v>
      </c>
      <c r="F25" s="1091"/>
      <c r="L25" s="1070" t="s">
        <v>1288</v>
      </c>
      <c r="M25" s="1070" t="s">
        <v>1289</v>
      </c>
      <c r="N25" s="1070" t="s">
        <v>1290</v>
      </c>
      <c r="O25" s="1070" t="s">
        <v>1291</v>
      </c>
      <c r="P25" s="1070" t="s">
        <v>1292</v>
      </c>
      <c r="Q25" s="1070" t="s">
        <v>1293</v>
      </c>
      <c r="R25" s="1070" t="s">
        <v>1294</v>
      </c>
    </row>
    <row r="26" spans="1:19" ht="14.25" customHeight="1" thickBot="1">
      <c r="A26" s="1076" t="s">
        <v>1144</v>
      </c>
      <c r="B26" s="1084" t="s">
        <v>1226</v>
      </c>
      <c r="C26" s="1070"/>
      <c r="D26" s="1070">
        <v>23900</v>
      </c>
      <c r="E26" s="1070">
        <v>23590</v>
      </c>
      <c r="F26" s="1091"/>
      <c r="L26" s="1070" t="s">
        <v>1295</v>
      </c>
      <c r="M26" s="1070" t="s">
        <v>1296</v>
      </c>
      <c r="N26" s="1070" t="s">
        <v>1297</v>
      </c>
      <c r="O26" s="1070" t="s">
        <v>1298</v>
      </c>
      <c r="P26" s="1070" t="s">
        <v>1299</v>
      </c>
      <c r="Q26" s="1070" t="s">
        <v>1300</v>
      </c>
      <c r="R26" s="1070" t="s">
        <v>1301</v>
      </c>
    </row>
    <row r="27" spans="1:19" ht="14.25" customHeight="1" thickBot="1">
      <c r="A27" s="1076" t="s">
        <v>1144</v>
      </c>
      <c r="B27" s="1084" t="s">
        <v>1236</v>
      </c>
      <c r="C27" s="1070"/>
      <c r="D27" s="1070">
        <v>22850</v>
      </c>
      <c r="E27" s="1070">
        <v>21920</v>
      </c>
      <c r="F27" s="1091"/>
      <c r="L27" s="1070" t="s">
        <v>1302</v>
      </c>
      <c r="M27" s="1070" t="s">
        <v>1303</v>
      </c>
      <c r="N27" s="1070" t="s">
        <v>1304</v>
      </c>
      <c r="O27" s="1070" t="s">
        <v>1305</v>
      </c>
      <c r="P27" s="1070" t="s">
        <v>1306</v>
      </c>
      <c r="Q27" s="1070" t="s">
        <v>1307</v>
      </c>
      <c r="R27" s="1070" t="s">
        <v>1308</v>
      </c>
    </row>
    <row r="28" spans="1:19" ht="14.25" customHeight="1" thickBot="1">
      <c r="A28" s="1093" t="s">
        <v>1144</v>
      </c>
      <c r="B28" s="1085" t="s">
        <v>1246</v>
      </c>
      <c r="C28" s="1086"/>
      <c r="D28" s="1086">
        <v>26610</v>
      </c>
      <c r="E28" s="1086">
        <v>26370</v>
      </c>
      <c r="F28" s="1087"/>
      <c r="L28" s="1070" t="s">
        <v>1309</v>
      </c>
      <c r="M28" s="1070" t="s">
        <v>1310</v>
      </c>
      <c r="N28" s="1070" t="s">
        <v>1311</v>
      </c>
      <c r="O28" s="1070" t="s">
        <v>1312</v>
      </c>
      <c r="P28" s="1070" t="s">
        <v>1313</v>
      </c>
      <c r="Q28" s="1070" t="s">
        <v>1314</v>
      </c>
    </row>
    <row r="29" spans="1:19" ht="14.25" customHeight="1" thickBot="1">
      <c r="A29" s="1076" t="s">
        <v>1315</v>
      </c>
      <c r="B29" s="1077" t="s">
        <v>1316</v>
      </c>
      <c r="C29" s="1077">
        <v>22090</v>
      </c>
      <c r="D29" s="1077">
        <v>21860</v>
      </c>
      <c r="E29" s="1077">
        <v>19380</v>
      </c>
      <c r="F29" s="1078">
        <v>6610</v>
      </c>
      <c r="M29" s="1070" t="s">
        <v>1317</v>
      </c>
      <c r="N29" s="1070" t="s">
        <v>1318</v>
      </c>
      <c r="O29" s="1070" t="s">
        <v>1319</v>
      </c>
      <c r="P29" s="1070" t="s">
        <v>1320</v>
      </c>
      <c r="Q29" s="1070" t="s">
        <v>1321</v>
      </c>
    </row>
    <row r="30" spans="1:19" ht="14.25" customHeight="1" thickBot="1">
      <c r="A30" s="1076" t="s">
        <v>1315</v>
      </c>
      <c r="B30" s="1084" t="s">
        <v>1061</v>
      </c>
      <c r="C30" s="1070">
        <v>21380</v>
      </c>
      <c r="D30" s="1070">
        <v>19930</v>
      </c>
      <c r="E30" s="1070">
        <v>19860</v>
      </c>
      <c r="F30" s="1088">
        <v>6010</v>
      </c>
      <c r="H30" s="1092"/>
      <c r="M30" s="1070" t="s">
        <v>1322</v>
      </c>
      <c r="N30" s="1070" t="s">
        <v>1323</v>
      </c>
      <c r="O30" s="1070" t="s">
        <v>1324</v>
      </c>
      <c r="P30" s="1070" t="s">
        <v>2408</v>
      </c>
      <c r="Q30" s="1070" t="s">
        <v>1325</v>
      </c>
    </row>
    <row r="31" spans="1:19" ht="14.25" customHeight="1" thickBot="1">
      <c r="A31" s="1076" t="s">
        <v>1315</v>
      </c>
      <c r="B31" s="1084" t="s">
        <v>1075</v>
      </c>
      <c r="C31" s="1070">
        <v>21670</v>
      </c>
      <c r="D31" s="1070">
        <v>20660</v>
      </c>
      <c r="E31" s="1070">
        <v>20290</v>
      </c>
      <c r="F31" s="1088">
        <v>5840</v>
      </c>
      <c r="H31" s="1092"/>
      <c r="M31" s="1070" t="s">
        <v>1326</v>
      </c>
      <c r="N31" s="1070" t="s">
        <v>1327</v>
      </c>
      <c r="O31" s="1070" t="s">
        <v>1328</v>
      </c>
      <c r="P31" s="1070" t="s">
        <v>1329</v>
      </c>
      <c r="Q31" s="1070" t="s">
        <v>1330</v>
      </c>
    </row>
    <row r="32" spans="1:19" ht="14.25" customHeight="1" thickBot="1">
      <c r="A32" s="1076" t="s">
        <v>1315</v>
      </c>
      <c r="B32" s="1084" t="s">
        <v>1088</v>
      </c>
      <c r="C32" s="1070">
        <v>22280</v>
      </c>
      <c r="D32" s="1070">
        <v>21800</v>
      </c>
      <c r="E32" s="1070">
        <v>17650</v>
      </c>
      <c r="F32" s="1088">
        <v>4690</v>
      </c>
      <c r="H32" s="1092"/>
      <c r="M32" s="1070" t="s">
        <v>1331</v>
      </c>
      <c r="N32" s="1070" t="s">
        <v>1332</v>
      </c>
      <c r="O32" s="1070" t="s">
        <v>1333</v>
      </c>
      <c r="P32" s="1070" t="s">
        <v>1334</v>
      </c>
      <c r="Q32" s="1070" t="s">
        <v>1335</v>
      </c>
    </row>
    <row r="33" spans="1:17" ht="14.25" customHeight="1" thickBot="1">
      <c r="A33" s="1076" t="s">
        <v>1315</v>
      </c>
      <c r="B33" s="1084" t="s">
        <v>1102</v>
      </c>
      <c r="C33" s="1070">
        <v>22130</v>
      </c>
      <c r="D33" s="1070">
        <v>20460</v>
      </c>
      <c r="E33" s="1070">
        <v>18500</v>
      </c>
      <c r="F33" s="1088">
        <v>5340</v>
      </c>
      <c r="H33" s="1092"/>
      <c r="M33" s="1070" t="s">
        <v>1336</v>
      </c>
      <c r="N33" s="1070" t="s">
        <v>1337</v>
      </c>
      <c r="O33" s="1070" t="s">
        <v>1338</v>
      </c>
      <c r="P33" s="1070" t="s">
        <v>1339</v>
      </c>
      <c r="Q33" s="1070" t="s">
        <v>1340</v>
      </c>
    </row>
    <row r="34" spans="1:17" ht="14.25" customHeight="1" thickBot="1">
      <c r="A34" s="1076" t="s">
        <v>1315</v>
      </c>
      <c r="B34" s="1084" t="s">
        <v>1113</v>
      </c>
      <c r="C34" s="1070">
        <v>22070</v>
      </c>
      <c r="D34" s="1070">
        <v>20110</v>
      </c>
      <c r="E34" s="1070">
        <v>18830</v>
      </c>
      <c r="F34" s="1088">
        <v>5190</v>
      </c>
      <c r="H34" s="1092"/>
      <c r="M34" s="1070" t="s">
        <v>1341</v>
      </c>
      <c r="N34" s="1070" t="s">
        <v>1342</v>
      </c>
      <c r="O34" s="1070" t="s">
        <v>1343</v>
      </c>
      <c r="P34" s="1070" t="s">
        <v>1344</v>
      </c>
      <c r="Q34" s="1070" t="s">
        <v>1345</v>
      </c>
    </row>
    <row r="35" spans="1:17" ht="14.25" customHeight="1" thickBot="1">
      <c r="A35" s="1076" t="s">
        <v>1315</v>
      </c>
      <c r="B35" s="1084" t="s">
        <v>1124</v>
      </c>
      <c r="C35" s="1070">
        <v>22240</v>
      </c>
      <c r="D35" s="1070">
        <v>19550</v>
      </c>
      <c r="E35" s="1070">
        <v>19220</v>
      </c>
      <c r="F35" s="1088">
        <v>5800</v>
      </c>
      <c r="H35" s="1092"/>
      <c r="M35" s="1070" t="s">
        <v>1346</v>
      </c>
      <c r="N35" s="1070" t="s">
        <v>1347</v>
      </c>
      <c r="O35" s="1070" t="s">
        <v>1348</v>
      </c>
      <c r="P35" s="1070" t="s">
        <v>1349</v>
      </c>
      <c r="Q35" s="1070" t="s">
        <v>1350</v>
      </c>
    </row>
    <row r="36" spans="1:17" ht="14.25" customHeight="1" thickBot="1">
      <c r="A36" s="1076" t="s">
        <v>1315</v>
      </c>
      <c r="B36" s="1084" t="s">
        <v>1135</v>
      </c>
      <c r="C36" s="1070">
        <v>19750</v>
      </c>
      <c r="D36" s="1070">
        <v>19790</v>
      </c>
      <c r="E36" s="1070">
        <v>18510</v>
      </c>
      <c r="F36" s="1088">
        <v>6520</v>
      </c>
      <c r="H36" s="1092"/>
      <c r="N36" s="1070" t="s">
        <v>1351</v>
      </c>
      <c r="O36" s="1070" t="s">
        <v>1352</v>
      </c>
      <c r="P36" s="1070" t="s">
        <v>1353</v>
      </c>
      <c r="Q36" s="1070" t="s">
        <v>1354</v>
      </c>
    </row>
    <row r="37" spans="1:17" ht="14.25" customHeight="1" thickBot="1">
      <c r="A37" s="1076" t="s">
        <v>1315</v>
      </c>
      <c r="B37" s="1084" t="s">
        <v>1147</v>
      </c>
      <c r="C37" s="1070">
        <v>22380</v>
      </c>
      <c r="D37" s="1070">
        <v>18530</v>
      </c>
      <c r="E37" s="1070">
        <v>17930</v>
      </c>
      <c r="F37" s="1088">
        <v>6270</v>
      </c>
      <c r="H37" s="1094"/>
      <c r="N37" s="1070" t="s">
        <v>1355</v>
      </c>
      <c r="O37" s="1070" t="s">
        <v>1356</v>
      </c>
      <c r="P37" s="1070" t="s">
        <v>1357</v>
      </c>
      <c r="Q37" s="1070" t="s">
        <v>1358</v>
      </c>
    </row>
    <row r="38" spans="1:17" ht="14.25" customHeight="1" thickBot="1">
      <c r="A38" s="1076" t="s">
        <v>1315</v>
      </c>
      <c r="B38" s="1084" t="s">
        <v>1157</v>
      </c>
      <c r="C38" s="1070">
        <v>20200</v>
      </c>
      <c r="D38" s="1070">
        <v>20070</v>
      </c>
      <c r="E38" s="1070">
        <v>19950</v>
      </c>
      <c r="F38" s="1088"/>
      <c r="H38" s="1095"/>
      <c r="N38" s="1070" t="s">
        <v>1359</v>
      </c>
      <c r="O38" s="1070" t="s">
        <v>1360</v>
      </c>
      <c r="P38" s="1070" t="s">
        <v>1361</v>
      </c>
      <c r="Q38" s="1070" t="s">
        <v>1362</v>
      </c>
    </row>
    <row r="39" spans="1:17" ht="14.25" customHeight="1" thickBot="1">
      <c r="A39" s="1076" t="s">
        <v>1315</v>
      </c>
      <c r="B39" s="1084" t="s">
        <v>1167</v>
      </c>
      <c r="C39" s="1070">
        <v>19300</v>
      </c>
      <c r="D39" s="1070">
        <v>20360</v>
      </c>
      <c r="E39" s="1070">
        <v>20230</v>
      </c>
      <c r="F39" s="1088"/>
      <c r="H39" s="1095"/>
      <c r="N39" s="1070" t="s">
        <v>1363</v>
      </c>
      <c r="O39" s="1070" t="s">
        <v>1364</v>
      </c>
      <c r="P39" s="1070" t="s">
        <v>1365</v>
      </c>
      <c r="Q39" s="1070" t="s">
        <v>1366</v>
      </c>
    </row>
    <row r="40" spans="1:17" ht="14.25" customHeight="1" thickBot="1">
      <c r="A40" s="1076" t="s">
        <v>1315</v>
      </c>
      <c r="B40" s="1084" t="s">
        <v>1177</v>
      </c>
      <c r="C40" s="1070">
        <v>20210</v>
      </c>
      <c r="D40" s="1070">
        <v>19060</v>
      </c>
      <c r="E40" s="1070">
        <v>18890</v>
      </c>
      <c r="F40" s="1088"/>
      <c r="H40" s="1095"/>
      <c r="N40" s="1070" t="s">
        <v>1367</v>
      </c>
      <c r="O40" s="1070" t="s">
        <v>1368</v>
      </c>
      <c r="P40" s="1070" t="s">
        <v>1369</v>
      </c>
      <c r="Q40" s="1070" t="s">
        <v>1370</v>
      </c>
    </row>
    <row r="41" spans="1:17" ht="14.25" customHeight="1" thickBot="1">
      <c r="A41" s="1076" t="s">
        <v>1315</v>
      </c>
      <c r="B41" s="1084" t="s">
        <v>1187</v>
      </c>
      <c r="C41" s="1070">
        <v>20560</v>
      </c>
      <c r="D41" s="1070">
        <v>21040</v>
      </c>
      <c r="E41" s="1070">
        <v>20740</v>
      </c>
      <c r="F41" s="1088"/>
      <c r="H41" s="1095"/>
      <c r="N41" s="1084" t="s">
        <v>1371</v>
      </c>
      <c r="O41" s="1084" t="s">
        <v>1372</v>
      </c>
      <c r="Q41" s="1084" t="s">
        <v>1373</v>
      </c>
    </row>
    <row r="42" spans="1:17" ht="14.25" customHeight="1" thickBot="1">
      <c r="A42" s="1076" t="s">
        <v>1315</v>
      </c>
      <c r="B42" s="1084" t="s">
        <v>1197</v>
      </c>
      <c r="C42" s="1070">
        <v>19280</v>
      </c>
      <c r="D42" s="1070">
        <v>22940</v>
      </c>
      <c r="E42" s="1070">
        <v>22500</v>
      </c>
      <c r="F42" s="1088"/>
      <c r="H42" s="1095"/>
      <c r="N42" s="1070" t="s">
        <v>1374</v>
      </c>
      <c r="O42" s="1070" t="s">
        <v>1375</v>
      </c>
      <c r="Q42" s="1070" t="s">
        <v>1376</v>
      </c>
    </row>
    <row r="43" spans="1:17" ht="14.25" customHeight="1" thickBot="1">
      <c r="A43" s="1076" t="s">
        <v>1315</v>
      </c>
      <c r="B43" s="1084" t="s">
        <v>1207</v>
      </c>
      <c r="C43" s="1070">
        <v>21520</v>
      </c>
      <c r="D43" s="1070">
        <v>19230</v>
      </c>
      <c r="E43" s="1070">
        <v>18540</v>
      </c>
      <c r="F43" s="1088"/>
      <c r="H43" s="1095"/>
      <c r="N43" s="1070" t="s">
        <v>1377</v>
      </c>
      <c r="O43" s="1070" t="s">
        <v>1378</v>
      </c>
      <c r="Q43" s="1070" t="s">
        <v>1379</v>
      </c>
    </row>
    <row r="44" spans="1:17" ht="14.25" customHeight="1" thickBot="1">
      <c r="A44" s="1076" t="s">
        <v>1315</v>
      </c>
      <c r="B44" s="1084" t="s">
        <v>1217</v>
      </c>
      <c r="C44" s="1070">
        <v>23260</v>
      </c>
      <c r="D44" s="1070">
        <v>21180</v>
      </c>
      <c r="E44" s="1070">
        <v>20730</v>
      </c>
      <c r="F44" s="1088"/>
      <c r="H44" s="1095"/>
      <c r="N44" s="1070" t="s">
        <v>1380</v>
      </c>
      <c r="O44" s="1070" t="s">
        <v>1381</v>
      </c>
      <c r="Q44" s="1070" t="s">
        <v>1382</v>
      </c>
    </row>
    <row r="45" spans="1:17" ht="14.25" customHeight="1" thickBot="1">
      <c r="A45" s="1076" t="s">
        <v>1315</v>
      </c>
      <c r="B45" s="1084" t="s">
        <v>1227</v>
      </c>
      <c r="C45" s="1070">
        <v>19610</v>
      </c>
      <c r="D45" s="1070">
        <v>18090</v>
      </c>
      <c r="E45" s="1070">
        <v>17970</v>
      </c>
      <c r="F45" s="1088"/>
      <c r="H45" s="1092"/>
      <c r="N45" s="1070" t="s">
        <v>1383</v>
      </c>
      <c r="O45" s="1070" t="s">
        <v>1384</v>
      </c>
      <c r="Q45" s="1070" t="s">
        <v>1385</v>
      </c>
    </row>
    <row r="46" spans="1:17" ht="14.25" customHeight="1" thickBot="1">
      <c r="A46" s="1076" t="s">
        <v>1315</v>
      </c>
      <c r="B46" s="1084" t="s">
        <v>1237</v>
      </c>
      <c r="C46" s="1070">
        <v>21660</v>
      </c>
      <c r="D46" s="1070">
        <v>19190</v>
      </c>
      <c r="E46" s="1070">
        <v>19790</v>
      </c>
      <c r="F46" s="1088"/>
      <c r="H46" s="1095"/>
      <c r="N46" s="1070" t="s">
        <v>1386</v>
      </c>
      <c r="O46" s="1070" t="s">
        <v>1387</v>
      </c>
      <c r="Q46" s="1070" t="s">
        <v>1388</v>
      </c>
    </row>
    <row r="47" spans="1:17" ht="14.25" customHeight="1" thickBot="1">
      <c r="A47" s="1076" t="s">
        <v>1315</v>
      </c>
      <c r="B47" s="1084" t="s">
        <v>1247</v>
      </c>
      <c r="C47" s="1070">
        <v>18220</v>
      </c>
      <c r="D47" s="1070"/>
      <c r="E47" s="1070">
        <v>17220</v>
      </c>
      <c r="F47" s="1088"/>
      <c r="H47" s="1095"/>
      <c r="N47" s="1070" t="s">
        <v>1389</v>
      </c>
      <c r="O47" s="1070" t="s">
        <v>1390</v>
      </c>
    </row>
    <row r="48" spans="1:17" ht="14.25" customHeight="1" thickBot="1">
      <c r="A48" s="1076" t="s">
        <v>1315</v>
      </c>
      <c r="B48" s="1085" t="s">
        <v>1256</v>
      </c>
      <c r="C48" s="1086">
        <v>19430</v>
      </c>
      <c r="D48" s="1086"/>
      <c r="E48" s="1086">
        <v>17830</v>
      </c>
      <c r="F48" s="1096"/>
      <c r="H48" s="1092"/>
      <c r="N48" s="1070" t="s">
        <v>1391</v>
      </c>
      <c r="O48" s="1070" t="s">
        <v>1392</v>
      </c>
    </row>
    <row r="49" spans="1:15" ht="14.25" customHeight="1" thickBot="1">
      <c r="A49" s="1076" t="s">
        <v>914</v>
      </c>
      <c r="B49" s="1077" t="s">
        <v>1393</v>
      </c>
      <c r="C49" s="1077">
        <v>17090</v>
      </c>
      <c r="D49" s="1077">
        <v>16950</v>
      </c>
      <c r="E49" s="1077">
        <v>16310</v>
      </c>
      <c r="F49" s="1078">
        <v>4540</v>
      </c>
      <c r="H49" s="1095"/>
      <c r="N49" s="1070" t="s">
        <v>1394</v>
      </c>
      <c r="O49" s="1070" t="s">
        <v>1395</v>
      </c>
    </row>
    <row r="50" spans="1:15" ht="14.25" customHeight="1" thickBot="1">
      <c r="A50" s="1076" t="s">
        <v>914</v>
      </c>
      <c r="B50" s="1070" t="s">
        <v>1062</v>
      </c>
      <c r="C50" s="1070">
        <v>19040</v>
      </c>
      <c r="D50" s="1070">
        <v>16960</v>
      </c>
      <c r="E50" s="1070">
        <v>14800</v>
      </c>
      <c r="F50" s="1088">
        <v>3940</v>
      </c>
      <c r="H50" s="1095"/>
    </row>
    <row r="51" spans="1:15" ht="14.25" customHeight="1" thickBot="1">
      <c r="A51" s="1076" t="s">
        <v>914</v>
      </c>
      <c r="B51" s="1070" t="s">
        <v>1076</v>
      </c>
      <c r="C51" s="1070">
        <v>17040</v>
      </c>
      <c r="D51" s="1070">
        <v>16930</v>
      </c>
      <c r="E51" s="1070">
        <v>15030</v>
      </c>
      <c r="F51" s="1088">
        <v>4120</v>
      </c>
      <c r="H51" s="1095"/>
    </row>
    <row r="52" spans="1:15" ht="14.25" customHeight="1" thickBot="1">
      <c r="A52" s="1076" t="s">
        <v>914</v>
      </c>
      <c r="B52" s="1070" t="s">
        <v>1089</v>
      </c>
      <c r="C52" s="1070">
        <v>17110</v>
      </c>
      <c r="D52" s="1070">
        <v>17750</v>
      </c>
      <c r="E52" s="1070">
        <v>17310</v>
      </c>
      <c r="F52" s="1088">
        <v>3220</v>
      </c>
      <c r="H52" s="1095"/>
    </row>
    <row r="53" spans="1:15" ht="14.25" customHeight="1" thickBot="1">
      <c r="A53" s="1076" t="s">
        <v>914</v>
      </c>
      <c r="B53" s="1070" t="s">
        <v>1103</v>
      </c>
      <c r="C53" s="1070">
        <v>17810</v>
      </c>
      <c r="D53" s="1070">
        <v>17260</v>
      </c>
      <c r="E53" s="1070">
        <v>17090</v>
      </c>
      <c r="F53" s="1088">
        <v>3520</v>
      </c>
      <c r="H53" s="1095"/>
    </row>
    <row r="54" spans="1:15" ht="14.25" customHeight="1" thickBot="1">
      <c r="A54" s="1076" t="s">
        <v>914</v>
      </c>
      <c r="B54" s="1070" t="s">
        <v>1114</v>
      </c>
      <c r="C54" s="1070">
        <v>17410</v>
      </c>
      <c r="D54" s="1070">
        <v>16780</v>
      </c>
      <c r="E54" s="1070">
        <v>16370</v>
      </c>
      <c r="F54" s="1088">
        <v>3410</v>
      </c>
      <c r="H54" s="1095"/>
    </row>
    <row r="55" spans="1:15" ht="14.25" customHeight="1" thickBot="1">
      <c r="A55" s="1076" t="s">
        <v>914</v>
      </c>
      <c r="B55" s="1070" t="s">
        <v>1125</v>
      </c>
      <c r="C55" s="1070">
        <v>16930</v>
      </c>
      <c r="D55" s="1070">
        <v>14720</v>
      </c>
      <c r="E55" s="1070">
        <v>15000</v>
      </c>
      <c r="F55" s="1088">
        <v>3710</v>
      </c>
      <c r="H55" s="1095"/>
    </row>
    <row r="56" spans="1:15" ht="14.25" customHeight="1" thickBot="1">
      <c r="A56" s="1076" t="s">
        <v>914</v>
      </c>
      <c r="B56" s="1070" t="s">
        <v>1136</v>
      </c>
      <c r="C56" s="1070">
        <v>14930</v>
      </c>
      <c r="D56" s="1070">
        <v>15850</v>
      </c>
      <c r="E56" s="1070">
        <v>14320</v>
      </c>
      <c r="F56" s="1088">
        <v>3960</v>
      </c>
      <c r="H56" s="1095"/>
    </row>
    <row r="57" spans="1:15" ht="14.25" customHeight="1" thickBot="1">
      <c r="A57" s="1076" t="s">
        <v>914</v>
      </c>
      <c r="B57" s="1070" t="s">
        <v>1148</v>
      </c>
      <c r="C57" s="1070">
        <v>16160</v>
      </c>
      <c r="D57" s="1070">
        <v>16190</v>
      </c>
      <c r="E57" s="1070">
        <v>15650</v>
      </c>
      <c r="F57" s="1088">
        <v>4200</v>
      </c>
      <c r="H57" s="1095"/>
    </row>
    <row r="58" spans="1:15" ht="14.25" customHeight="1" thickBot="1">
      <c r="A58" s="1076" t="s">
        <v>914</v>
      </c>
      <c r="B58" s="1070" t="s">
        <v>1158</v>
      </c>
      <c r="C58" s="1070">
        <v>16360</v>
      </c>
      <c r="D58" s="1070">
        <v>14050</v>
      </c>
      <c r="E58" s="1070">
        <v>16070</v>
      </c>
      <c r="F58" s="1088">
        <v>3990</v>
      </c>
      <c r="H58" s="1095"/>
    </row>
    <row r="59" spans="1:15" ht="14.25" customHeight="1" thickBot="1">
      <c r="A59" s="1076" t="s">
        <v>914</v>
      </c>
      <c r="B59" s="1070" t="s">
        <v>1168</v>
      </c>
      <c r="C59" s="1070">
        <v>14160</v>
      </c>
      <c r="D59" s="1070">
        <v>16620</v>
      </c>
      <c r="E59" s="1070">
        <v>13940</v>
      </c>
      <c r="F59" s="1088">
        <v>4260</v>
      </c>
      <c r="H59" s="1095"/>
    </row>
    <row r="60" spans="1:15" ht="14.25" customHeight="1" thickBot="1">
      <c r="A60" s="1076" t="s">
        <v>914</v>
      </c>
      <c r="B60" s="1070" t="s">
        <v>1178</v>
      </c>
      <c r="C60" s="1070">
        <v>16750</v>
      </c>
      <c r="D60" s="1070">
        <v>13910</v>
      </c>
      <c r="E60" s="1070">
        <v>16550</v>
      </c>
      <c r="F60" s="1088">
        <v>4550</v>
      </c>
      <c r="H60" s="1095"/>
    </row>
    <row r="61" spans="1:15" ht="14.25" customHeight="1" thickBot="1">
      <c r="A61" s="1076" t="s">
        <v>914</v>
      </c>
      <c r="B61" s="1070" t="s">
        <v>1188</v>
      </c>
      <c r="C61" s="1070">
        <v>14000</v>
      </c>
      <c r="D61" s="1070">
        <v>14550</v>
      </c>
      <c r="E61" s="1070">
        <v>13860</v>
      </c>
      <c r="F61" s="1097"/>
      <c r="H61" s="1095"/>
    </row>
    <row r="62" spans="1:15" ht="14.25" customHeight="1" thickBot="1">
      <c r="A62" s="1076" t="s">
        <v>914</v>
      </c>
      <c r="B62" s="1070" t="s">
        <v>1198</v>
      </c>
      <c r="C62" s="1070">
        <v>14660</v>
      </c>
      <c r="D62" s="1070">
        <v>17450</v>
      </c>
      <c r="E62" s="1070">
        <v>14470</v>
      </c>
      <c r="F62" s="1097"/>
      <c r="H62" s="1095"/>
    </row>
    <row r="63" spans="1:15" ht="14.25" customHeight="1" thickBot="1">
      <c r="A63" s="1076" t="s">
        <v>914</v>
      </c>
      <c r="B63" s="1070" t="s">
        <v>1208</v>
      </c>
      <c r="C63" s="1070">
        <v>17610</v>
      </c>
      <c r="D63" s="1070">
        <v>16500</v>
      </c>
      <c r="E63" s="1070">
        <v>17330</v>
      </c>
      <c r="F63" s="1097"/>
      <c r="H63" s="1095"/>
    </row>
    <row r="64" spans="1:15" ht="14.25" customHeight="1" thickBot="1">
      <c r="A64" s="1076" t="s">
        <v>914</v>
      </c>
      <c r="B64" s="1070" t="s">
        <v>1218</v>
      </c>
      <c r="C64" s="1070">
        <v>16590</v>
      </c>
      <c r="D64" s="1070">
        <v>15130</v>
      </c>
      <c r="E64" s="1070">
        <v>16420</v>
      </c>
      <c r="F64" s="1097"/>
      <c r="H64" s="1095"/>
    </row>
    <row r="65" spans="1:8" s="1064" customFormat="1" ht="14.25" customHeight="1" thickBot="1">
      <c r="A65" s="1076" t="s">
        <v>914</v>
      </c>
      <c r="B65" s="1070" t="s">
        <v>1228</v>
      </c>
      <c r="C65" s="1070">
        <v>15220</v>
      </c>
      <c r="D65" s="1070">
        <v>14660</v>
      </c>
      <c r="E65" s="1070">
        <v>15060</v>
      </c>
      <c r="F65" s="1088"/>
      <c r="H65" s="1095"/>
    </row>
    <row r="66" spans="1:8" s="1064" customFormat="1" ht="14.25" customHeight="1" thickBot="1">
      <c r="A66" s="1076" t="s">
        <v>914</v>
      </c>
      <c r="B66" s="1070" t="s">
        <v>1238</v>
      </c>
      <c r="C66" s="1070">
        <v>14720</v>
      </c>
      <c r="D66" s="1070">
        <v>15970</v>
      </c>
      <c r="E66" s="1070">
        <v>14610</v>
      </c>
      <c r="F66" s="1088"/>
      <c r="H66" s="1095"/>
    </row>
    <row r="67" spans="1:8" s="1064" customFormat="1" ht="14.25" customHeight="1" thickBot="1">
      <c r="A67" s="1076" t="s">
        <v>914</v>
      </c>
      <c r="B67" s="1070" t="s">
        <v>1248</v>
      </c>
      <c r="C67" s="1070">
        <v>16080</v>
      </c>
      <c r="D67" s="1070">
        <v>14840</v>
      </c>
      <c r="E67" s="1070">
        <v>15630</v>
      </c>
      <c r="F67" s="1088"/>
      <c r="H67" s="1095"/>
    </row>
    <row r="68" spans="1:8" s="1064" customFormat="1" ht="14.25" customHeight="1" thickBot="1">
      <c r="A68" s="1076" t="s">
        <v>914</v>
      </c>
      <c r="B68" s="1070" t="s">
        <v>1257</v>
      </c>
      <c r="C68" s="1070">
        <v>14940</v>
      </c>
      <c r="D68" s="1070">
        <v>18000</v>
      </c>
      <c r="E68" s="1070">
        <v>14040</v>
      </c>
      <c r="F68" s="1088"/>
      <c r="H68" s="1095"/>
    </row>
    <row r="69" spans="1:8" s="1064" customFormat="1" ht="14.25" customHeight="1" thickBot="1">
      <c r="A69" s="1076" t="s">
        <v>914</v>
      </c>
      <c r="B69" s="1070" t="s">
        <v>1266</v>
      </c>
      <c r="C69" s="1070">
        <v>18810</v>
      </c>
      <c r="D69" s="1070">
        <v>15100</v>
      </c>
      <c r="E69" s="1070">
        <v>14710</v>
      </c>
      <c r="F69" s="1088"/>
      <c r="H69" s="1095"/>
    </row>
    <row r="70" spans="1:8" s="1064" customFormat="1" ht="14.25" customHeight="1" thickBot="1">
      <c r="A70" s="1076" t="s">
        <v>914</v>
      </c>
      <c r="B70" s="1070" t="s">
        <v>1274</v>
      </c>
      <c r="C70" s="1070">
        <v>18270</v>
      </c>
      <c r="D70" s="1070"/>
      <c r="E70" s="1070"/>
      <c r="F70" s="1088"/>
      <c r="H70" s="1095"/>
    </row>
    <row r="71" spans="1:8" s="1064" customFormat="1" ht="14.25" customHeight="1" thickBot="1">
      <c r="A71" s="1076" t="s">
        <v>914</v>
      </c>
      <c r="B71" s="1070" t="s">
        <v>1281</v>
      </c>
      <c r="C71" s="1070">
        <v>15230</v>
      </c>
      <c r="D71" s="1070"/>
      <c r="E71" s="1070"/>
      <c r="F71" s="1088"/>
      <c r="H71" s="1095"/>
    </row>
    <row r="72" spans="1:8" s="1064" customFormat="1" ht="14.25" customHeight="1" thickBot="1">
      <c r="A72" s="1076" t="s">
        <v>914</v>
      </c>
      <c r="B72" s="1070" t="s">
        <v>1288</v>
      </c>
      <c r="C72" s="1070"/>
      <c r="D72" s="1070"/>
      <c r="E72" s="1070"/>
      <c r="F72" s="1088">
        <v>4120</v>
      </c>
      <c r="H72" s="1095"/>
    </row>
    <row r="73" spans="1:8" s="1064" customFormat="1" ht="14.25" customHeight="1" thickBot="1">
      <c r="A73" s="1076" t="s">
        <v>914</v>
      </c>
      <c r="B73" s="1070" t="s">
        <v>1295</v>
      </c>
      <c r="C73" s="1070"/>
      <c r="D73" s="1070"/>
      <c r="E73" s="1070"/>
      <c r="F73" s="1088">
        <v>3930</v>
      </c>
      <c r="H73" s="1095"/>
    </row>
    <row r="74" spans="1:8" s="1064" customFormat="1" ht="14.25" customHeight="1" thickBot="1">
      <c r="A74" s="1076" t="s">
        <v>914</v>
      </c>
      <c r="B74" s="1070" t="s">
        <v>1302</v>
      </c>
      <c r="C74" s="1070"/>
      <c r="D74" s="1070"/>
      <c r="E74" s="1070"/>
      <c r="F74" s="1088">
        <v>4060</v>
      </c>
      <c r="H74" s="1095"/>
    </row>
    <row r="75" spans="1:8" s="1064" customFormat="1" ht="14.25" customHeight="1" thickBot="1">
      <c r="A75" s="1076" t="s">
        <v>914</v>
      </c>
      <c r="B75" s="1086" t="s">
        <v>1309</v>
      </c>
      <c r="C75" s="1086"/>
      <c r="D75" s="1086"/>
      <c r="E75" s="1086"/>
      <c r="F75" s="1096">
        <v>3750</v>
      </c>
      <c r="H75" s="1095"/>
    </row>
    <row r="76" spans="1:8" s="1064" customFormat="1" ht="14.25" customHeight="1" thickBot="1">
      <c r="A76" s="1076" t="s">
        <v>1396</v>
      </c>
      <c r="B76" s="1077" t="s">
        <v>1397</v>
      </c>
      <c r="C76" s="1077">
        <v>14690</v>
      </c>
      <c r="D76" s="1077">
        <v>14640</v>
      </c>
      <c r="E76" s="1077">
        <v>14590</v>
      </c>
      <c r="F76" s="1078">
        <v>3060</v>
      </c>
      <c r="H76" s="1095"/>
    </row>
    <row r="77" spans="1:8" s="1064" customFormat="1" ht="14.25" customHeight="1" thickBot="1">
      <c r="A77" s="1076" t="s">
        <v>1396</v>
      </c>
      <c r="B77" s="1070" t="s">
        <v>1063</v>
      </c>
      <c r="C77" s="1070">
        <v>12550</v>
      </c>
      <c r="D77" s="1070">
        <v>12480</v>
      </c>
      <c r="E77" s="1070">
        <v>12450</v>
      </c>
      <c r="F77" s="1088">
        <v>2590</v>
      </c>
      <c r="H77" s="1095"/>
    </row>
    <row r="78" spans="1:8" s="1064" customFormat="1" ht="14.25" customHeight="1" thickBot="1">
      <c r="A78" s="1076" t="s">
        <v>1396</v>
      </c>
      <c r="B78" s="1070" t="s">
        <v>1077</v>
      </c>
      <c r="C78" s="1070">
        <v>14360</v>
      </c>
      <c r="D78" s="1070">
        <v>14320</v>
      </c>
      <c r="E78" s="1070">
        <v>12510</v>
      </c>
      <c r="F78" s="1088">
        <v>2700</v>
      </c>
      <c r="H78" s="1095"/>
    </row>
    <row r="79" spans="1:8" s="1064" customFormat="1" ht="14.25" customHeight="1" thickBot="1">
      <c r="A79" s="1076" t="s">
        <v>1396</v>
      </c>
      <c r="B79" s="1070" t="s">
        <v>1090</v>
      </c>
      <c r="C79" s="1070">
        <v>12590</v>
      </c>
      <c r="D79" s="1070">
        <v>12540</v>
      </c>
      <c r="E79" s="1070">
        <v>12350</v>
      </c>
      <c r="F79" s="1088">
        <v>2740</v>
      </c>
      <c r="H79" s="1095"/>
    </row>
    <row r="80" spans="1:8" s="1064" customFormat="1" ht="14.25" customHeight="1" thickBot="1">
      <c r="A80" s="1076" t="s">
        <v>1396</v>
      </c>
      <c r="B80" s="1070" t="s">
        <v>1104</v>
      </c>
      <c r="C80" s="1070">
        <v>12450</v>
      </c>
      <c r="D80" s="1070">
        <v>12370</v>
      </c>
      <c r="E80" s="1070">
        <v>10790</v>
      </c>
      <c r="F80" s="1088">
        <v>2290</v>
      </c>
      <c r="H80" s="1095"/>
    </row>
    <row r="81" spans="1:8" s="1064" customFormat="1" ht="14.25" customHeight="1" thickBot="1">
      <c r="A81" s="1076" t="s">
        <v>1396</v>
      </c>
      <c r="B81" s="1070" t="s">
        <v>1115</v>
      </c>
      <c r="C81" s="1070">
        <v>14210</v>
      </c>
      <c r="D81" s="1070">
        <v>14150</v>
      </c>
      <c r="E81" s="1070">
        <v>12730</v>
      </c>
      <c r="F81" s="1088">
        <v>2240</v>
      </c>
      <c r="H81" s="1095"/>
    </row>
    <row r="82" spans="1:8" s="1064" customFormat="1" ht="14.25" customHeight="1" thickBot="1">
      <c r="A82" s="1076" t="s">
        <v>1396</v>
      </c>
      <c r="B82" s="1070" t="s">
        <v>1126</v>
      </c>
      <c r="C82" s="1070">
        <v>10860</v>
      </c>
      <c r="D82" s="1070">
        <v>10820</v>
      </c>
      <c r="E82" s="1070">
        <v>14720</v>
      </c>
      <c r="F82" s="1088">
        <v>2490</v>
      </c>
      <c r="H82" s="1095"/>
    </row>
    <row r="83" spans="1:8" s="1064" customFormat="1" ht="14.25" customHeight="1" thickBot="1">
      <c r="A83" s="1076" t="s">
        <v>1396</v>
      </c>
      <c r="B83" s="1070" t="s">
        <v>1137</v>
      </c>
      <c r="C83" s="1070">
        <v>12810</v>
      </c>
      <c r="D83" s="1070">
        <v>12760</v>
      </c>
      <c r="E83" s="1070">
        <v>14830</v>
      </c>
      <c r="F83" s="1088">
        <v>2450</v>
      </c>
      <c r="H83" s="1095"/>
    </row>
    <row r="84" spans="1:8" s="1064" customFormat="1" ht="14.25" customHeight="1" thickBot="1">
      <c r="A84" s="1076" t="s">
        <v>1396</v>
      </c>
      <c r="B84" s="1070" t="s">
        <v>1149</v>
      </c>
      <c r="C84" s="1070">
        <v>14950</v>
      </c>
      <c r="D84" s="1070">
        <v>14810</v>
      </c>
      <c r="E84" s="1070">
        <v>12590</v>
      </c>
      <c r="F84" s="1088">
        <v>2540</v>
      </c>
      <c r="H84" s="1095"/>
    </row>
    <row r="85" spans="1:8" s="1064" customFormat="1" ht="14.25" customHeight="1" thickBot="1">
      <c r="A85" s="1076" t="s">
        <v>1396</v>
      </c>
      <c r="B85" s="1070" t="s">
        <v>1159</v>
      </c>
      <c r="C85" s="1070">
        <v>14960</v>
      </c>
      <c r="D85" s="1070">
        <v>14890</v>
      </c>
      <c r="E85" s="1070">
        <v>12840</v>
      </c>
      <c r="F85" s="1088">
        <v>2840</v>
      </c>
      <c r="H85" s="1095"/>
    </row>
    <row r="86" spans="1:8" s="1064" customFormat="1" ht="14.25" customHeight="1" thickBot="1">
      <c r="A86" s="1076" t="s">
        <v>1396</v>
      </c>
      <c r="B86" s="1070" t="s">
        <v>1169</v>
      </c>
      <c r="C86" s="1070">
        <v>12730</v>
      </c>
      <c r="D86" s="1070">
        <v>12660</v>
      </c>
      <c r="E86" s="1070">
        <v>13310</v>
      </c>
      <c r="F86" s="1088">
        <v>3140</v>
      </c>
      <c r="H86" s="1095"/>
    </row>
    <row r="87" spans="1:8" s="1064" customFormat="1" ht="14.25" customHeight="1" thickBot="1">
      <c r="A87" s="1076" t="s">
        <v>1396</v>
      </c>
      <c r="B87" s="1070" t="s">
        <v>1179</v>
      </c>
      <c r="C87" s="1070">
        <v>12940</v>
      </c>
      <c r="D87" s="1070">
        <v>12890</v>
      </c>
      <c r="E87" s="1070">
        <v>11580</v>
      </c>
      <c r="F87" s="1097"/>
      <c r="H87" s="1095"/>
    </row>
    <row r="88" spans="1:8" s="1064" customFormat="1" ht="14.25" customHeight="1" thickBot="1">
      <c r="A88" s="1076" t="s">
        <v>1396</v>
      </c>
      <c r="B88" s="1070" t="s">
        <v>1189</v>
      </c>
      <c r="C88" s="1070">
        <v>13430</v>
      </c>
      <c r="D88" s="1070">
        <v>13360</v>
      </c>
      <c r="E88" s="1070">
        <v>12790</v>
      </c>
      <c r="F88" s="1097"/>
      <c r="H88" s="1095"/>
    </row>
    <row r="89" spans="1:8" s="1064" customFormat="1" ht="14.25" customHeight="1" thickBot="1">
      <c r="A89" s="1076" t="s">
        <v>1396</v>
      </c>
      <c r="B89" s="1070" t="s">
        <v>1199</v>
      </c>
      <c r="C89" s="1070">
        <v>11680</v>
      </c>
      <c r="D89" s="1070">
        <v>11630</v>
      </c>
      <c r="E89" s="1070">
        <v>11320</v>
      </c>
      <c r="F89" s="1097"/>
      <c r="H89" s="1095"/>
    </row>
    <row r="90" spans="1:8" s="1064" customFormat="1" ht="14.25" customHeight="1" thickBot="1">
      <c r="A90" s="1076" t="s">
        <v>1396</v>
      </c>
      <c r="B90" s="1070" t="s">
        <v>1209</v>
      </c>
      <c r="C90" s="1070">
        <v>12890</v>
      </c>
      <c r="D90" s="1070">
        <v>12820</v>
      </c>
      <c r="E90" s="1070">
        <v>12710</v>
      </c>
      <c r="F90" s="1097"/>
      <c r="H90" s="1095"/>
    </row>
    <row r="91" spans="1:8" s="1064" customFormat="1" ht="14.25" customHeight="1" thickBot="1">
      <c r="A91" s="1076" t="s">
        <v>1396</v>
      </c>
      <c r="B91" s="1070" t="s">
        <v>1219</v>
      </c>
      <c r="C91" s="1070">
        <v>11410</v>
      </c>
      <c r="D91" s="1070">
        <v>11360</v>
      </c>
      <c r="E91" s="1070">
        <v>12670</v>
      </c>
      <c r="F91" s="1097"/>
      <c r="H91" s="1095"/>
    </row>
    <row r="92" spans="1:8" s="1064" customFormat="1" ht="14.25" customHeight="1" thickBot="1">
      <c r="A92" s="1076" t="s">
        <v>1396</v>
      </c>
      <c r="B92" s="1070" t="s">
        <v>1229</v>
      </c>
      <c r="C92" s="1070">
        <v>12770</v>
      </c>
      <c r="D92" s="1070">
        <v>12740</v>
      </c>
      <c r="E92" s="1070">
        <v>11970</v>
      </c>
      <c r="F92" s="1097"/>
      <c r="H92" s="1095"/>
    </row>
    <row r="93" spans="1:8" s="1064" customFormat="1" ht="14.25" customHeight="1" thickBot="1">
      <c r="A93" s="1076" t="s">
        <v>1396</v>
      </c>
      <c r="B93" s="1070" t="s">
        <v>1239</v>
      </c>
      <c r="C93" s="1070">
        <v>12740</v>
      </c>
      <c r="D93" s="1070">
        <v>12700</v>
      </c>
      <c r="E93" s="1070">
        <v>12540</v>
      </c>
      <c r="F93" s="1097"/>
      <c r="H93" s="1095"/>
    </row>
    <row r="94" spans="1:8" s="1064" customFormat="1" ht="14.25" customHeight="1" thickBot="1">
      <c r="A94" s="1076" t="s">
        <v>1396</v>
      </c>
      <c r="B94" s="1070" t="s">
        <v>1249</v>
      </c>
      <c r="C94" s="1070">
        <v>12020</v>
      </c>
      <c r="D94" s="1070">
        <v>11990</v>
      </c>
      <c r="E94" s="1070">
        <v>13110</v>
      </c>
      <c r="F94" s="1097"/>
      <c r="H94" s="1095"/>
    </row>
    <row r="95" spans="1:8" s="1064" customFormat="1" ht="14.25" customHeight="1" thickBot="1">
      <c r="A95" s="1076" t="s">
        <v>1396</v>
      </c>
      <c r="B95" s="1070" t="s">
        <v>1258</v>
      </c>
      <c r="C95" s="1070">
        <v>12620</v>
      </c>
      <c r="D95" s="1070">
        <v>12580</v>
      </c>
      <c r="E95" s="1070">
        <v>13160</v>
      </c>
      <c r="F95" s="1088"/>
      <c r="H95" s="1095"/>
    </row>
    <row r="96" spans="1:8" s="1064" customFormat="1" ht="14.25" customHeight="1" thickBot="1">
      <c r="A96" s="1076" t="s">
        <v>1396</v>
      </c>
      <c r="B96" s="1070" t="s">
        <v>1267</v>
      </c>
      <c r="C96" s="1070">
        <v>13200</v>
      </c>
      <c r="D96" s="1070">
        <v>13150</v>
      </c>
      <c r="E96" s="1070">
        <v>12900</v>
      </c>
      <c r="F96" s="1088"/>
      <c r="H96" s="1095"/>
    </row>
    <row r="97" spans="1:8" s="1064" customFormat="1" ht="14.25" customHeight="1" thickBot="1">
      <c r="A97" s="1076" t="s">
        <v>1396</v>
      </c>
      <c r="B97" s="1070" t="s">
        <v>1275</v>
      </c>
      <c r="C97" s="1070">
        <v>13270</v>
      </c>
      <c r="D97" s="1070">
        <v>13210</v>
      </c>
      <c r="E97" s="1070">
        <v>11080</v>
      </c>
      <c r="F97" s="1088"/>
      <c r="H97" s="1095"/>
    </row>
    <row r="98" spans="1:8" s="1064" customFormat="1" ht="14.25" customHeight="1" thickBot="1">
      <c r="A98" s="1076" t="s">
        <v>1396</v>
      </c>
      <c r="B98" s="1070" t="s">
        <v>1282</v>
      </c>
      <c r="C98" s="1070">
        <v>13010</v>
      </c>
      <c r="D98" s="1070">
        <v>12930</v>
      </c>
      <c r="E98" s="1070">
        <v>12840</v>
      </c>
      <c r="F98" s="1088"/>
      <c r="H98" s="1095"/>
    </row>
    <row r="99" spans="1:8" s="1064" customFormat="1" ht="14.25" customHeight="1" thickBot="1">
      <c r="A99" s="1076" t="s">
        <v>1396</v>
      </c>
      <c r="B99" s="1070" t="s">
        <v>1289</v>
      </c>
      <c r="C99" s="1070">
        <v>11190</v>
      </c>
      <c r="D99" s="1070">
        <v>11130</v>
      </c>
      <c r="E99" s="1070"/>
      <c r="F99" s="1088"/>
      <c r="H99" s="1095"/>
    </row>
    <row r="100" spans="1:8" s="1064" customFormat="1" ht="14.25" customHeight="1" thickBot="1">
      <c r="A100" s="1076" t="s">
        <v>1396</v>
      </c>
      <c r="B100" s="1070" t="s">
        <v>1296</v>
      </c>
      <c r="C100" s="1070">
        <v>14280</v>
      </c>
      <c r="D100" s="1070">
        <v>14180</v>
      </c>
      <c r="E100" s="1070"/>
      <c r="F100" s="1088"/>
      <c r="H100" s="1095"/>
    </row>
    <row r="101" spans="1:8" s="1064" customFormat="1" ht="14.25" customHeight="1" thickBot="1">
      <c r="A101" s="1076" t="s">
        <v>1396</v>
      </c>
      <c r="B101" s="1070" t="s">
        <v>1303</v>
      </c>
      <c r="C101" s="1070">
        <v>12960</v>
      </c>
      <c r="D101" s="1070">
        <v>12890</v>
      </c>
      <c r="E101" s="1070"/>
      <c r="F101" s="1088"/>
      <c r="H101" s="1095"/>
    </row>
    <row r="102" spans="1:8" s="1064" customFormat="1" ht="14.25" customHeight="1" thickBot="1">
      <c r="A102" s="1076" t="s">
        <v>1396</v>
      </c>
      <c r="B102" s="1070" t="s">
        <v>1310</v>
      </c>
      <c r="C102" s="1070"/>
      <c r="D102" s="1070"/>
      <c r="E102" s="1070"/>
      <c r="F102" s="1088">
        <v>3100</v>
      </c>
      <c r="H102" s="1095"/>
    </row>
    <row r="103" spans="1:8" s="1064" customFormat="1" ht="14.25" customHeight="1" thickBot="1">
      <c r="A103" s="1076" t="s">
        <v>1396</v>
      </c>
      <c r="B103" s="1070" t="s">
        <v>1317</v>
      </c>
      <c r="C103" s="1070"/>
      <c r="D103" s="1070"/>
      <c r="E103" s="1070"/>
      <c r="F103" s="1088">
        <v>2320</v>
      </c>
      <c r="H103" s="1095"/>
    </row>
    <row r="104" spans="1:8" s="1064" customFormat="1" ht="14.25" customHeight="1" thickBot="1">
      <c r="A104" s="1076" t="s">
        <v>1396</v>
      </c>
      <c r="B104" s="1070" t="s">
        <v>1322</v>
      </c>
      <c r="C104" s="1070"/>
      <c r="D104" s="1070"/>
      <c r="E104" s="1070"/>
      <c r="F104" s="1088">
        <v>2320</v>
      </c>
      <c r="H104" s="1095"/>
    </row>
    <row r="105" spans="1:8" s="1064" customFormat="1" ht="14.25" customHeight="1" thickBot="1">
      <c r="A105" s="1076" t="s">
        <v>1396</v>
      </c>
      <c r="B105" s="1070" t="s">
        <v>1326</v>
      </c>
      <c r="C105" s="1070"/>
      <c r="D105" s="1070"/>
      <c r="E105" s="1070"/>
      <c r="F105" s="1088">
        <v>2320</v>
      </c>
      <c r="H105" s="1095"/>
    </row>
    <row r="106" spans="1:8" s="1064" customFormat="1" ht="14.25" customHeight="1" thickBot="1">
      <c r="A106" s="1076" t="s">
        <v>1396</v>
      </c>
      <c r="B106" s="1070" t="s">
        <v>1331</v>
      </c>
      <c r="C106" s="1070"/>
      <c r="D106" s="1070"/>
      <c r="E106" s="1070"/>
      <c r="F106" s="1088">
        <v>2320</v>
      </c>
      <c r="H106" s="1095"/>
    </row>
    <row r="107" spans="1:8" s="1064" customFormat="1" ht="14.25" customHeight="1" thickBot="1">
      <c r="A107" s="1076" t="s">
        <v>1396</v>
      </c>
      <c r="B107" s="1070" t="s">
        <v>1336</v>
      </c>
      <c r="C107" s="1070"/>
      <c r="D107" s="1070"/>
      <c r="E107" s="1070"/>
      <c r="F107" s="1088">
        <v>2280</v>
      </c>
      <c r="H107" s="1095"/>
    </row>
    <row r="108" spans="1:8" s="1064" customFormat="1" ht="14.25" customHeight="1" thickBot="1">
      <c r="A108" s="1076" t="s">
        <v>1396</v>
      </c>
      <c r="B108" s="1070" t="s">
        <v>1341</v>
      </c>
      <c r="C108" s="1070"/>
      <c r="D108" s="1070"/>
      <c r="E108" s="1070"/>
      <c r="F108" s="1088">
        <v>2280</v>
      </c>
      <c r="H108" s="1095"/>
    </row>
    <row r="109" spans="1:8" s="1064" customFormat="1" ht="14.25" customHeight="1" thickBot="1">
      <c r="A109" s="1076" t="s">
        <v>1396</v>
      </c>
      <c r="B109" s="1086" t="s">
        <v>1346</v>
      </c>
      <c r="C109" s="1086"/>
      <c r="D109" s="1086"/>
      <c r="E109" s="1086"/>
      <c r="F109" s="1096">
        <v>2280</v>
      </c>
      <c r="H109" s="1095"/>
    </row>
    <row r="110" spans="1:8" s="1064" customFormat="1" ht="14.25" customHeight="1" thickBot="1">
      <c r="A110" s="1076" t="s">
        <v>1398</v>
      </c>
      <c r="B110" s="1077" t="s">
        <v>1399</v>
      </c>
      <c r="C110" s="1077">
        <v>10520</v>
      </c>
      <c r="D110" s="1077">
        <v>10490</v>
      </c>
      <c r="E110" s="1077">
        <v>10760</v>
      </c>
      <c r="F110" s="1078">
        <v>2160</v>
      </c>
      <c r="H110" s="1095"/>
    </row>
    <row r="111" spans="1:8" s="1064" customFormat="1" ht="14.25" customHeight="1" thickBot="1">
      <c r="A111" s="1076" t="s">
        <v>1398</v>
      </c>
      <c r="B111" s="1070" t="s">
        <v>1064</v>
      </c>
      <c r="C111" s="1070">
        <v>10090</v>
      </c>
      <c r="D111" s="1070">
        <v>10060</v>
      </c>
      <c r="E111" s="1070">
        <v>10300</v>
      </c>
      <c r="F111" s="1088">
        <v>2010</v>
      </c>
      <c r="H111" s="1095"/>
    </row>
    <row r="112" spans="1:8" s="1064" customFormat="1" ht="14.25" customHeight="1" thickBot="1">
      <c r="A112" s="1076" t="s">
        <v>1398</v>
      </c>
      <c r="B112" s="1070" t="s">
        <v>1078</v>
      </c>
      <c r="C112" s="1070">
        <v>9910</v>
      </c>
      <c r="D112" s="1070">
        <v>9850</v>
      </c>
      <c r="E112" s="1070">
        <v>9960</v>
      </c>
      <c r="F112" s="1088">
        <v>2090</v>
      </c>
      <c r="H112" s="1095"/>
    </row>
    <row r="113" spans="1:8" s="1064" customFormat="1" ht="14.25" customHeight="1" thickBot="1">
      <c r="A113" s="1076" t="s">
        <v>1398</v>
      </c>
      <c r="B113" s="1070" t="s">
        <v>1091</v>
      </c>
      <c r="C113" s="1070">
        <v>11430</v>
      </c>
      <c r="D113" s="1070">
        <v>11400</v>
      </c>
      <c r="E113" s="1070">
        <v>11710</v>
      </c>
      <c r="F113" s="1088">
        <v>2050</v>
      </c>
      <c r="H113" s="1095"/>
    </row>
    <row r="114" spans="1:8" s="1064" customFormat="1" ht="14.25" customHeight="1" thickBot="1">
      <c r="A114" s="1076" t="s">
        <v>1398</v>
      </c>
      <c r="B114" s="1070" t="s">
        <v>1105</v>
      </c>
      <c r="C114" s="1070">
        <v>11390</v>
      </c>
      <c r="D114" s="1070">
        <v>11350</v>
      </c>
      <c r="E114" s="1070">
        <v>11640</v>
      </c>
      <c r="F114" s="1088">
        <v>1620</v>
      </c>
      <c r="H114" s="1095"/>
    </row>
    <row r="115" spans="1:8" s="1064" customFormat="1" ht="14.25" customHeight="1" thickBot="1">
      <c r="A115" s="1076" t="s">
        <v>1398</v>
      </c>
      <c r="B115" s="1070" t="s">
        <v>1116</v>
      </c>
      <c r="C115" s="1070">
        <v>9930</v>
      </c>
      <c r="D115" s="1070">
        <v>9900</v>
      </c>
      <c r="E115" s="1070">
        <v>10160</v>
      </c>
      <c r="F115" s="1088">
        <v>1580</v>
      </c>
      <c r="H115" s="1095"/>
    </row>
    <row r="116" spans="1:8" s="1064" customFormat="1" ht="14.25" customHeight="1" thickBot="1">
      <c r="A116" s="1076" t="s">
        <v>1398</v>
      </c>
      <c r="B116" s="1070" t="s">
        <v>1127</v>
      </c>
      <c r="C116" s="1070">
        <v>9150</v>
      </c>
      <c r="D116" s="1070">
        <v>9120</v>
      </c>
      <c r="E116" s="1070">
        <v>9380</v>
      </c>
      <c r="F116" s="1088">
        <v>1750</v>
      </c>
      <c r="H116" s="1095"/>
    </row>
    <row r="117" spans="1:8" s="1064" customFormat="1" ht="14.25" customHeight="1" thickBot="1">
      <c r="A117" s="1076" t="s">
        <v>1398</v>
      </c>
      <c r="B117" s="1070" t="s">
        <v>1138</v>
      </c>
      <c r="C117" s="1070">
        <v>10680</v>
      </c>
      <c r="D117" s="1070">
        <v>10650</v>
      </c>
      <c r="E117" s="1070">
        <v>10970</v>
      </c>
      <c r="F117" s="1088">
        <v>1730</v>
      </c>
      <c r="H117" s="1095"/>
    </row>
    <row r="118" spans="1:8" s="1064" customFormat="1" ht="14.25" customHeight="1" thickBot="1">
      <c r="A118" s="1076" t="s">
        <v>1398</v>
      </c>
      <c r="B118" s="1070" t="s">
        <v>1150</v>
      </c>
      <c r="C118" s="1070">
        <v>10080</v>
      </c>
      <c r="D118" s="1070">
        <v>10050</v>
      </c>
      <c r="E118" s="1070">
        <v>10350</v>
      </c>
      <c r="F118" s="1088">
        <v>1920</v>
      </c>
      <c r="H118" s="1095"/>
    </row>
    <row r="119" spans="1:8" s="1064" customFormat="1" ht="14.25" customHeight="1" thickBot="1">
      <c r="A119" s="1076" t="s">
        <v>1398</v>
      </c>
      <c r="B119" s="1070" t="s">
        <v>1160</v>
      </c>
      <c r="C119" s="1070">
        <v>9450</v>
      </c>
      <c r="D119" s="1070">
        <v>9410</v>
      </c>
      <c r="E119" s="1070">
        <v>9680</v>
      </c>
      <c r="F119" s="1088">
        <v>1880</v>
      </c>
      <c r="H119" s="1095"/>
    </row>
    <row r="120" spans="1:8" s="1064" customFormat="1" ht="14.25" customHeight="1" thickBot="1">
      <c r="A120" s="1076" t="s">
        <v>1398</v>
      </c>
      <c r="B120" s="1070" t="s">
        <v>1170</v>
      </c>
      <c r="C120" s="1070">
        <v>8730</v>
      </c>
      <c r="D120" s="1070">
        <v>8700</v>
      </c>
      <c r="E120" s="1070">
        <v>8950</v>
      </c>
      <c r="F120" s="1088">
        <v>1830</v>
      </c>
      <c r="H120" s="1095"/>
    </row>
    <row r="121" spans="1:8" s="1064" customFormat="1" ht="14.25" customHeight="1" thickBot="1">
      <c r="A121" s="1076" t="s">
        <v>1398</v>
      </c>
      <c r="B121" s="1070" t="s">
        <v>1180</v>
      </c>
      <c r="C121" s="1070">
        <v>10070</v>
      </c>
      <c r="D121" s="1070">
        <v>10040</v>
      </c>
      <c r="E121" s="1070">
        <v>10270</v>
      </c>
      <c r="F121" s="1088">
        <v>1960</v>
      </c>
      <c r="H121" s="1095"/>
    </row>
    <row r="122" spans="1:8" s="1064" customFormat="1" ht="14.25" customHeight="1" thickBot="1">
      <c r="A122" s="1076" t="s">
        <v>1398</v>
      </c>
      <c r="B122" s="1070" t="s">
        <v>1190</v>
      </c>
      <c r="C122" s="1070">
        <v>10500</v>
      </c>
      <c r="D122" s="1070">
        <v>10470</v>
      </c>
      <c r="E122" s="1070">
        <v>10780</v>
      </c>
      <c r="F122" s="1088">
        <v>2180</v>
      </c>
      <c r="H122" s="1095"/>
    </row>
    <row r="123" spans="1:8" s="1064" customFormat="1" ht="14.25" customHeight="1" thickBot="1">
      <c r="A123" s="1076" t="s">
        <v>1398</v>
      </c>
      <c r="B123" s="1070" t="s">
        <v>1200</v>
      </c>
      <c r="C123" s="1070">
        <v>10390</v>
      </c>
      <c r="D123" s="1070">
        <v>10360</v>
      </c>
      <c r="E123" s="1070">
        <v>10660</v>
      </c>
      <c r="F123" s="1088">
        <v>2040</v>
      </c>
      <c r="H123" s="1095"/>
    </row>
    <row r="124" spans="1:8" s="1064" customFormat="1" ht="14.25" customHeight="1" thickBot="1">
      <c r="A124" s="1076" t="s">
        <v>1398</v>
      </c>
      <c r="B124" s="1070" t="s">
        <v>1210</v>
      </c>
      <c r="C124" s="1070">
        <v>10390</v>
      </c>
      <c r="D124" s="1070">
        <v>10360</v>
      </c>
      <c r="E124" s="1070">
        <v>10680</v>
      </c>
      <c r="F124" s="1097"/>
      <c r="H124" s="1095"/>
    </row>
    <row r="125" spans="1:8" s="1064" customFormat="1" ht="14.25" customHeight="1" thickBot="1">
      <c r="A125" s="1076" t="s">
        <v>1398</v>
      </c>
      <c r="B125" s="1070" t="s">
        <v>1220</v>
      </c>
      <c r="C125" s="1070">
        <v>10440</v>
      </c>
      <c r="D125" s="1070">
        <v>10410</v>
      </c>
      <c r="E125" s="1070">
        <v>10710</v>
      </c>
      <c r="F125" s="1097"/>
      <c r="H125" s="1095"/>
    </row>
    <row r="126" spans="1:8" s="1064" customFormat="1" ht="14.25" customHeight="1" thickBot="1">
      <c r="A126" s="1076" t="s">
        <v>1398</v>
      </c>
      <c r="B126" s="1070" t="s">
        <v>1230</v>
      </c>
      <c r="C126" s="1070">
        <v>10780</v>
      </c>
      <c r="D126" s="1070">
        <v>10750</v>
      </c>
      <c r="E126" s="1070">
        <v>11080</v>
      </c>
      <c r="F126" s="1097"/>
      <c r="H126" s="1095"/>
    </row>
    <row r="127" spans="1:8" s="1064" customFormat="1" ht="14.25" customHeight="1" thickBot="1">
      <c r="A127" s="1076" t="s">
        <v>1398</v>
      </c>
      <c r="B127" s="1070" t="s">
        <v>1240</v>
      </c>
      <c r="C127" s="1070">
        <v>10100</v>
      </c>
      <c r="D127" s="1070">
        <v>10070</v>
      </c>
      <c r="E127" s="1070">
        <v>10350</v>
      </c>
      <c r="F127" s="1097"/>
      <c r="H127" s="1095"/>
    </row>
    <row r="128" spans="1:8" s="1064" customFormat="1" ht="14.25" customHeight="1" thickBot="1">
      <c r="A128" s="1076" t="s">
        <v>1398</v>
      </c>
      <c r="B128" s="1070" t="s">
        <v>1250</v>
      </c>
      <c r="C128" s="1070">
        <v>9200</v>
      </c>
      <c r="D128" s="1070">
        <v>9160</v>
      </c>
      <c r="E128" s="1070">
        <v>9660</v>
      </c>
      <c r="F128" s="1097"/>
      <c r="H128" s="1095"/>
    </row>
    <row r="129" spans="1:8" s="1064" customFormat="1" ht="14.25" customHeight="1" thickBot="1">
      <c r="A129" s="1076" t="s">
        <v>1398</v>
      </c>
      <c r="B129" s="1070" t="s">
        <v>1259</v>
      </c>
      <c r="C129" s="1070">
        <v>10340</v>
      </c>
      <c r="D129" s="1070">
        <v>10310</v>
      </c>
      <c r="E129" s="1070">
        <v>10580</v>
      </c>
      <c r="F129" s="1097"/>
      <c r="H129" s="1095"/>
    </row>
    <row r="130" spans="1:8" s="1064" customFormat="1" ht="14.25" customHeight="1" thickBot="1">
      <c r="A130" s="1076" t="s">
        <v>1398</v>
      </c>
      <c r="B130" s="1070" t="s">
        <v>1268</v>
      </c>
      <c r="C130" s="1070">
        <v>9680</v>
      </c>
      <c r="D130" s="1070">
        <v>9660</v>
      </c>
      <c r="E130" s="1070">
        <v>9950</v>
      </c>
      <c r="F130" s="1097"/>
      <c r="H130" s="1095"/>
    </row>
    <row r="131" spans="1:8" s="1064" customFormat="1" ht="14.25" customHeight="1" thickBot="1">
      <c r="A131" s="1076" t="s">
        <v>1398</v>
      </c>
      <c r="B131" s="1070" t="s">
        <v>1276</v>
      </c>
      <c r="C131" s="1070">
        <v>9540</v>
      </c>
      <c r="D131" s="1070">
        <v>9510</v>
      </c>
      <c r="E131" s="1070">
        <v>9790</v>
      </c>
      <c r="F131" s="1097"/>
      <c r="H131" s="1095"/>
    </row>
    <row r="132" spans="1:8" s="1064" customFormat="1" ht="14.25" customHeight="1" thickBot="1">
      <c r="A132" s="1076" t="s">
        <v>1398</v>
      </c>
      <c r="B132" s="1070" t="s">
        <v>1283</v>
      </c>
      <c r="C132" s="1070">
        <v>9320</v>
      </c>
      <c r="D132" s="1070">
        <v>9290</v>
      </c>
      <c r="E132" s="1070">
        <v>9570</v>
      </c>
      <c r="F132" s="1097"/>
      <c r="H132" s="1095"/>
    </row>
    <row r="133" spans="1:8" s="1064" customFormat="1" ht="14.25" customHeight="1" thickBot="1">
      <c r="A133" s="1076" t="s">
        <v>1398</v>
      </c>
      <c r="B133" s="1070" t="s">
        <v>1290</v>
      </c>
      <c r="C133" s="1070">
        <v>10310</v>
      </c>
      <c r="D133" s="1070">
        <v>10280</v>
      </c>
      <c r="E133" s="1070">
        <v>10530</v>
      </c>
      <c r="F133" s="1097"/>
      <c r="H133" s="1095"/>
    </row>
    <row r="134" spans="1:8" s="1064" customFormat="1" ht="14.25" customHeight="1" thickBot="1">
      <c r="A134" s="1076" t="s">
        <v>1398</v>
      </c>
      <c r="B134" s="1070" t="s">
        <v>1297</v>
      </c>
      <c r="C134" s="1070">
        <v>10370</v>
      </c>
      <c r="D134" s="1070">
        <v>10310</v>
      </c>
      <c r="E134" s="1070">
        <v>10240</v>
      </c>
      <c r="F134" s="1088">
        <v>2060</v>
      </c>
      <c r="H134" s="1095"/>
    </row>
    <row r="135" spans="1:8" s="1064" customFormat="1" ht="14.25" customHeight="1" thickBot="1">
      <c r="A135" s="1076" t="s">
        <v>1398</v>
      </c>
      <c r="B135" s="1070" t="s">
        <v>1304</v>
      </c>
      <c r="C135" s="1070">
        <v>9300</v>
      </c>
      <c r="D135" s="1070">
        <v>9270</v>
      </c>
      <c r="E135" s="1070">
        <v>9350</v>
      </c>
      <c r="F135" s="1097"/>
      <c r="H135" s="1095"/>
    </row>
    <row r="136" spans="1:8" s="1064" customFormat="1" ht="14.25" customHeight="1" thickBot="1">
      <c r="A136" s="1076" t="s">
        <v>1398</v>
      </c>
      <c r="B136" s="1070" t="s">
        <v>1311</v>
      </c>
      <c r="C136" s="1070">
        <v>10160</v>
      </c>
      <c r="D136" s="1070">
        <v>10110</v>
      </c>
      <c r="E136" s="1070">
        <v>10080</v>
      </c>
      <c r="F136" s="1097"/>
      <c r="H136" s="1095"/>
    </row>
    <row r="137" spans="1:8" s="1064" customFormat="1" ht="14.25" customHeight="1" thickBot="1">
      <c r="A137" s="1076" t="s">
        <v>1398</v>
      </c>
      <c r="B137" s="1070" t="s">
        <v>1318</v>
      </c>
      <c r="C137" s="1070">
        <v>9200</v>
      </c>
      <c r="D137" s="1070">
        <v>9170</v>
      </c>
      <c r="E137" s="1070">
        <v>9450</v>
      </c>
      <c r="F137" s="1097"/>
      <c r="H137" s="1095"/>
    </row>
    <row r="138" spans="1:8" s="1064" customFormat="1" ht="14.25" customHeight="1" thickBot="1">
      <c r="A138" s="1076" t="s">
        <v>1398</v>
      </c>
      <c r="B138" s="1070" t="s">
        <v>1323</v>
      </c>
      <c r="C138" s="1070">
        <v>9690</v>
      </c>
      <c r="D138" s="1070">
        <v>9660</v>
      </c>
      <c r="E138" s="1070">
        <v>9840</v>
      </c>
      <c r="F138" s="1097"/>
      <c r="H138" s="1095"/>
    </row>
    <row r="139" spans="1:8" s="1064" customFormat="1" ht="14.25" customHeight="1" thickBot="1">
      <c r="A139" s="1076" t="s">
        <v>1398</v>
      </c>
      <c r="B139" s="1070" t="s">
        <v>1327</v>
      </c>
      <c r="C139" s="1070">
        <v>10290</v>
      </c>
      <c r="D139" s="1070">
        <v>10260</v>
      </c>
      <c r="E139" s="1070">
        <v>10550</v>
      </c>
      <c r="F139" s="1088">
        <v>1700</v>
      </c>
      <c r="H139" s="1095"/>
    </row>
    <row r="140" spans="1:8" s="1064" customFormat="1" ht="14.25" customHeight="1" thickBot="1">
      <c r="A140" s="1076" t="s">
        <v>1398</v>
      </c>
      <c r="B140" s="1070" t="s">
        <v>1332</v>
      </c>
      <c r="C140" s="1070">
        <v>9740</v>
      </c>
      <c r="D140" s="1070">
        <v>9710</v>
      </c>
      <c r="E140" s="1070">
        <v>10000</v>
      </c>
      <c r="F140" s="1088">
        <v>2000</v>
      </c>
      <c r="H140" s="1095"/>
    </row>
    <row r="141" spans="1:8" s="1064" customFormat="1" ht="14.25" customHeight="1" thickBot="1">
      <c r="A141" s="1076" t="s">
        <v>1398</v>
      </c>
      <c r="B141" s="1070" t="s">
        <v>1337</v>
      </c>
      <c r="C141" s="1070">
        <v>9810</v>
      </c>
      <c r="D141" s="1070">
        <v>9770</v>
      </c>
      <c r="E141" s="1070">
        <v>10060</v>
      </c>
      <c r="F141" s="1097"/>
      <c r="H141" s="1095"/>
    </row>
    <row r="142" spans="1:8" s="1064" customFormat="1" ht="14.25" customHeight="1" thickBot="1">
      <c r="A142" s="1076" t="s">
        <v>1398</v>
      </c>
      <c r="B142" s="1070" t="s">
        <v>1342</v>
      </c>
      <c r="C142" s="1070">
        <v>9300</v>
      </c>
      <c r="D142" s="1070">
        <v>9270</v>
      </c>
      <c r="E142" s="1070">
        <v>9530</v>
      </c>
      <c r="F142" s="1097"/>
      <c r="H142" s="1095"/>
    </row>
    <row r="143" spans="1:8" s="1064" customFormat="1" ht="14.25" customHeight="1" thickBot="1">
      <c r="A143" s="1076" t="s">
        <v>1398</v>
      </c>
      <c r="B143" s="1070" t="s">
        <v>1347</v>
      </c>
      <c r="C143" s="1070">
        <v>10080</v>
      </c>
      <c r="D143" s="1070">
        <v>10050</v>
      </c>
      <c r="E143" s="1070">
        <v>10340</v>
      </c>
      <c r="F143" s="1097"/>
      <c r="H143" s="1095"/>
    </row>
    <row r="144" spans="1:8" s="1064" customFormat="1" ht="14.25" customHeight="1" thickBot="1">
      <c r="A144" s="1076" t="s">
        <v>1398</v>
      </c>
      <c r="B144" s="1070" t="s">
        <v>1351</v>
      </c>
      <c r="C144" s="1070">
        <v>9820</v>
      </c>
      <c r="D144" s="1070">
        <v>9750</v>
      </c>
      <c r="E144" s="1070">
        <v>9900</v>
      </c>
      <c r="F144" s="1097"/>
      <c r="H144" s="1095"/>
    </row>
    <row r="145" spans="1:8" s="1064" customFormat="1" ht="14.25" customHeight="1" thickBot="1">
      <c r="A145" s="1076" t="s">
        <v>1398</v>
      </c>
      <c r="B145" s="1070" t="s">
        <v>1355</v>
      </c>
      <c r="C145" s="1070"/>
      <c r="D145" s="1070"/>
      <c r="E145" s="1070"/>
      <c r="F145" s="1088">
        <v>1740</v>
      </c>
      <c r="H145" s="1095"/>
    </row>
    <row r="146" spans="1:8" s="1064" customFormat="1" ht="14.25" customHeight="1" thickBot="1">
      <c r="A146" s="1076" t="s">
        <v>1398</v>
      </c>
      <c r="B146" s="1070" t="s">
        <v>1359</v>
      </c>
      <c r="C146" s="1070"/>
      <c r="D146" s="1070"/>
      <c r="E146" s="1070"/>
      <c r="F146" s="1088">
        <v>1740</v>
      </c>
      <c r="H146" s="1095"/>
    </row>
    <row r="147" spans="1:8" s="1064" customFormat="1" ht="14.25" customHeight="1" thickBot="1">
      <c r="A147" s="1076" t="s">
        <v>1398</v>
      </c>
      <c r="B147" s="1070" t="s">
        <v>1363</v>
      </c>
      <c r="C147" s="1070"/>
      <c r="D147" s="1070"/>
      <c r="E147" s="1070"/>
      <c r="F147" s="1088">
        <v>1740</v>
      </c>
      <c r="H147" s="1095"/>
    </row>
    <row r="148" spans="1:8" s="1064" customFormat="1" ht="14.25" customHeight="1" thickBot="1">
      <c r="A148" s="1076" t="s">
        <v>1398</v>
      </c>
      <c r="B148" s="1070" t="s">
        <v>1367</v>
      </c>
      <c r="C148" s="1070"/>
      <c r="D148" s="1070"/>
      <c r="E148" s="1070"/>
      <c r="F148" s="1088">
        <v>1740</v>
      </c>
      <c r="H148" s="1095"/>
    </row>
    <row r="149" spans="1:8" s="1064" customFormat="1" ht="14.25" customHeight="1" thickBot="1">
      <c r="A149" s="1076" t="s">
        <v>1398</v>
      </c>
      <c r="B149" s="1070" t="s">
        <v>1371</v>
      </c>
      <c r="C149" s="1070"/>
      <c r="D149" s="1070"/>
      <c r="E149" s="1070"/>
      <c r="F149" s="1088">
        <v>1740</v>
      </c>
      <c r="H149" s="1095"/>
    </row>
    <row r="150" spans="1:8" s="1064" customFormat="1" ht="14.25" customHeight="1" thickBot="1">
      <c r="A150" s="1076" t="s">
        <v>1398</v>
      </c>
      <c r="B150" s="1070" t="s">
        <v>1374</v>
      </c>
      <c r="C150" s="1070"/>
      <c r="D150" s="1070"/>
      <c r="E150" s="1070"/>
      <c r="F150" s="1088">
        <v>1610</v>
      </c>
      <c r="H150" s="1095"/>
    </row>
    <row r="151" spans="1:8" s="1064" customFormat="1" ht="14.25" customHeight="1" thickBot="1">
      <c r="A151" s="1076" t="s">
        <v>1398</v>
      </c>
      <c r="B151" s="1070" t="s">
        <v>1377</v>
      </c>
      <c r="C151" s="1070"/>
      <c r="D151" s="1070"/>
      <c r="E151" s="1070"/>
      <c r="F151" s="1088">
        <v>1610</v>
      </c>
      <c r="H151" s="1095"/>
    </row>
    <row r="152" spans="1:8" s="1064" customFormat="1" ht="14.25" customHeight="1" thickBot="1">
      <c r="A152" s="1076" t="s">
        <v>1398</v>
      </c>
      <c r="B152" s="1070" t="s">
        <v>1380</v>
      </c>
      <c r="C152" s="1070"/>
      <c r="D152" s="1070"/>
      <c r="E152" s="1070"/>
      <c r="F152" s="1088">
        <v>1610</v>
      </c>
      <c r="H152" s="1095"/>
    </row>
    <row r="153" spans="1:8" s="1064" customFormat="1" ht="14.25" customHeight="1" thickBot="1">
      <c r="A153" s="1076" t="s">
        <v>1398</v>
      </c>
      <c r="B153" s="1070" t="s">
        <v>1383</v>
      </c>
      <c r="C153" s="1070"/>
      <c r="D153" s="1070"/>
      <c r="E153" s="1070"/>
      <c r="F153" s="1088">
        <v>1610</v>
      </c>
      <c r="H153" s="1095"/>
    </row>
    <row r="154" spans="1:8" s="1064" customFormat="1" ht="14.25" customHeight="1" thickBot="1">
      <c r="A154" s="1076" t="s">
        <v>1398</v>
      </c>
      <c r="B154" s="1070" t="s">
        <v>1386</v>
      </c>
      <c r="C154" s="1070"/>
      <c r="D154" s="1070"/>
      <c r="E154" s="1070"/>
      <c r="F154" s="1088">
        <v>1610</v>
      </c>
      <c r="H154" s="1095"/>
    </row>
    <row r="155" spans="1:8" s="1064" customFormat="1" ht="14.25" customHeight="1" thickBot="1">
      <c r="A155" s="1076" t="s">
        <v>1398</v>
      </c>
      <c r="B155" s="1070" t="s">
        <v>1389</v>
      </c>
      <c r="C155" s="1070"/>
      <c r="D155" s="1070"/>
      <c r="E155" s="1070"/>
      <c r="F155" s="1088">
        <v>1800</v>
      </c>
      <c r="H155" s="1095"/>
    </row>
    <row r="156" spans="1:8" s="1064" customFormat="1" ht="14.25" customHeight="1" thickBot="1">
      <c r="A156" s="1076" t="s">
        <v>1398</v>
      </c>
      <c r="B156" s="1070" t="s">
        <v>1391</v>
      </c>
      <c r="C156" s="1070"/>
      <c r="D156" s="1070"/>
      <c r="E156" s="1070"/>
      <c r="F156" s="1088">
        <v>1910</v>
      </c>
      <c r="H156" s="1095"/>
    </row>
    <row r="157" spans="1:8" s="1064" customFormat="1" ht="14.25" customHeight="1" thickBot="1">
      <c r="A157" s="1076" t="s">
        <v>1398</v>
      </c>
      <c r="B157" s="1086" t="s">
        <v>1394</v>
      </c>
      <c r="C157" s="1086"/>
      <c r="D157" s="1086"/>
      <c r="E157" s="1086"/>
      <c r="F157" s="1096">
        <v>1500</v>
      </c>
      <c r="H157" s="1095"/>
    </row>
    <row r="158" spans="1:8" s="1064" customFormat="1" ht="14.25" customHeight="1" thickBot="1">
      <c r="A158" s="1076" t="s">
        <v>1400</v>
      </c>
      <c r="B158" s="1077" t="s">
        <v>1401</v>
      </c>
      <c r="C158" s="1077">
        <v>8170</v>
      </c>
      <c r="D158" s="1077">
        <v>8140</v>
      </c>
      <c r="E158" s="1077">
        <v>8590</v>
      </c>
      <c r="F158" s="1078">
        <v>1450</v>
      </c>
      <c r="H158" s="1095"/>
    </row>
    <row r="159" spans="1:8" s="1064" customFormat="1" ht="14.25" customHeight="1" thickBot="1">
      <c r="A159" s="1076" t="s">
        <v>1400</v>
      </c>
      <c r="B159" s="1070" t="s">
        <v>1065</v>
      </c>
      <c r="C159" s="1070">
        <v>7410</v>
      </c>
      <c r="D159" s="1070">
        <v>7370</v>
      </c>
      <c r="E159" s="1070">
        <v>8030</v>
      </c>
      <c r="F159" s="1088">
        <v>1510</v>
      </c>
      <c r="H159" s="1095"/>
    </row>
    <row r="160" spans="1:8" s="1064" customFormat="1" ht="14.25" customHeight="1" thickBot="1">
      <c r="A160" s="1076" t="s">
        <v>1400</v>
      </c>
      <c r="B160" s="1070" t="s">
        <v>1079</v>
      </c>
      <c r="C160" s="1070">
        <v>7240</v>
      </c>
      <c r="D160" s="1070">
        <v>7210</v>
      </c>
      <c r="E160" s="1070">
        <v>7860</v>
      </c>
      <c r="F160" s="1088">
        <v>1370</v>
      </c>
      <c r="H160" s="1095"/>
    </row>
    <row r="161" spans="1:8" s="1064" customFormat="1" ht="14.25" customHeight="1" thickBot="1">
      <c r="A161" s="1076" t="s">
        <v>1400</v>
      </c>
      <c r="B161" s="1070" t="s">
        <v>1092</v>
      </c>
      <c r="C161" s="1070">
        <v>7720</v>
      </c>
      <c r="D161" s="1070">
        <v>7690</v>
      </c>
      <c r="E161" s="1070">
        <v>8200</v>
      </c>
      <c r="F161" s="1088">
        <v>1190</v>
      </c>
      <c r="H161" s="1095"/>
    </row>
    <row r="162" spans="1:8" s="1064" customFormat="1" ht="14.25" customHeight="1" thickBot="1">
      <c r="A162" s="1076" t="s">
        <v>1400</v>
      </c>
      <c r="B162" s="1070" t="s">
        <v>1106</v>
      </c>
      <c r="C162" s="1070">
        <v>6900</v>
      </c>
      <c r="D162" s="1070">
        <v>6870</v>
      </c>
      <c r="E162" s="1070">
        <v>7500</v>
      </c>
      <c r="F162" s="1088">
        <v>1390</v>
      </c>
      <c r="H162" s="1095"/>
    </row>
    <row r="163" spans="1:8" s="1064" customFormat="1" ht="14.25" customHeight="1" thickBot="1">
      <c r="A163" s="1076" t="s">
        <v>1400</v>
      </c>
      <c r="B163" s="1070" t="s">
        <v>1117</v>
      </c>
      <c r="C163" s="1070">
        <v>7120</v>
      </c>
      <c r="D163" s="1070">
        <v>7090</v>
      </c>
      <c r="E163" s="1070">
        <v>7690</v>
      </c>
      <c r="F163" s="1088">
        <v>1230</v>
      </c>
      <c r="H163" s="1095"/>
    </row>
    <row r="164" spans="1:8" s="1064" customFormat="1" ht="14.25" customHeight="1" thickBot="1">
      <c r="A164" s="1076" t="s">
        <v>1400</v>
      </c>
      <c r="B164" s="1070" t="s">
        <v>1128</v>
      </c>
      <c r="C164" s="1070">
        <v>6560</v>
      </c>
      <c r="D164" s="1070">
        <v>6530</v>
      </c>
      <c r="E164" s="1070">
        <v>7110</v>
      </c>
      <c r="F164" s="1088">
        <v>1340</v>
      </c>
      <c r="H164" s="1095"/>
    </row>
    <row r="165" spans="1:8" s="1064" customFormat="1" ht="14.25" customHeight="1" thickBot="1">
      <c r="A165" s="1076" t="s">
        <v>1400</v>
      </c>
      <c r="B165" s="1070" t="s">
        <v>1139</v>
      </c>
      <c r="C165" s="1070">
        <v>7450</v>
      </c>
      <c r="D165" s="1070">
        <v>7430</v>
      </c>
      <c r="E165" s="1070">
        <v>8110</v>
      </c>
      <c r="F165" s="1088">
        <v>1290</v>
      </c>
      <c r="H165" s="1095"/>
    </row>
    <row r="166" spans="1:8" s="1064" customFormat="1" ht="14.25" customHeight="1" thickBot="1">
      <c r="A166" s="1076" t="s">
        <v>1400</v>
      </c>
      <c r="B166" s="1070" t="s">
        <v>1151</v>
      </c>
      <c r="C166" s="1070">
        <v>7490</v>
      </c>
      <c r="D166" s="1070">
        <v>7460</v>
      </c>
      <c r="E166" s="1070">
        <v>8150</v>
      </c>
      <c r="F166" s="1088">
        <v>1350</v>
      </c>
      <c r="H166" s="1095"/>
    </row>
    <row r="167" spans="1:8" s="1064" customFormat="1" ht="14.25" customHeight="1" thickBot="1">
      <c r="A167" s="1076" t="s">
        <v>1400</v>
      </c>
      <c r="B167" s="1070" t="s">
        <v>1161</v>
      </c>
      <c r="C167" s="1070">
        <v>7540</v>
      </c>
      <c r="D167" s="1070">
        <v>7510</v>
      </c>
      <c r="E167" s="1070">
        <v>8030</v>
      </c>
      <c r="F167" s="1097"/>
      <c r="H167" s="1095"/>
    </row>
    <row r="168" spans="1:8" s="1064" customFormat="1" ht="14.25" customHeight="1" thickBot="1">
      <c r="A168" s="1076" t="s">
        <v>1400</v>
      </c>
      <c r="B168" s="1070" t="s">
        <v>1171</v>
      </c>
      <c r="C168" s="1070">
        <v>7210</v>
      </c>
      <c r="D168" s="1070">
        <v>7180</v>
      </c>
      <c r="E168" s="1070">
        <v>7830</v>
      </c>
      <c r="F168" s="1097"/>
      <c r="H168" s="1095"/>
    </row>
    <row r="169" spans="1:8" s="1064" customFormat="1" ht="14.25" customHeight="1" thickBot="1">
      <c r="A169" s="1076" t="s">
        <v>1400</v>
      </c>
      <c r="B169" s="1070" t="s">
        <v>1181</v>
      </c>
      <c r="C169" s="1070">
        <v>7040</v>
      </c>
      <c r="D169" s="1070">
        <v>7020</v>
      </c>
      <c r="E169" s="1070">
        <v>7670</v>
      </c>
      <c r="F169" s="1097"/>
      <c r="H169" s="1095"/>
    </row>
    <row r="170" spans="1:8" s="1064" customFormat="1" ht="14.25" customHeight="1" thickBot="1">
      <c r="A170" s="1076" t="s">
        <v>1400</v>
      </c>
      <c r="B170" s="1070" t="s">
        <v>1191</v>
      </c>
      <c r="C170" s="1070">
        <v>8040</v>
      </c>
      <c r="D170" s="1070">
        <v>7190</v>
      </c>
      <c r="E170" s="1070">
        <v>7850</v>
      </c>
      <c r="F170" s="1097"/>
      <c r="H170" s="1095"/>
    </row>
    <row r="171" spans="1:8" s="1064" customFormat="1" ht="14.25" customHeight="1" thickBot="1">
      <c r="A171" s="1076" t="s">
        <v>1400</v>
      </c>
      <c r="B171" s="1070" t="s">
        <v>1201</v>
      </c>
      <c r="C171" s="1070">
        <v>7860</v>
      </c>
      <c r="D171" s="1070">
        <v>7720</v>
      </c>
      <c r="E171" s="1070">
        <v>8150</v>
      </c>
      <c r="F171" s="1088">
        <v>1110</v>
      </c>
      <c r="H171" s="1095"/>
    </row>
    <row r="172" spans="1:8" s="1064" customFormat="1" ht="14.25" customHeight="1" thickBot="1">
      <c r="A172" s="1076" t="s">
        <v>1400</v>
      </c>
      <c r="B172" s="1070" t="s">
        <v>1211</v>
      </c>
      <c r="C172" s="1070">
        <v>7210</v>
      </c>
      <c r="D172" s="1070">
        <v>7170</v>
      </c>
      <c r="E172" s="1070">
        <v>7320</v>
      </c>
      <c r="F172" s="1097"/>
      <c r="H172" s="1095"/>
    </row>
    <row r="173" spans="1:8" s="1064" customFormat="1" ht="14.25" customHeight="1" thickBot="1">
      <c r="A173" s="1076" t="s">
        <v>1400</v>
      </c>
      <c r="B173" s="1070" t="s">
        <v>1221</v>
      </c>
      <c r="C173" s="1070">
        <v>6860</v>
      </c>
      <c r="D173" s="1070">
        <v>6810</v>
      </c>
      <c r="E173" s="1070">
        <v>7440</v>
      </c>
      <c r="F173" s="1097"/>
      <c r="H173" s="1095"/>
    </row>
    <row r="174" spans="1:8" s="1064" customFormat="1" ht="14.25" customHeight="1" thickBot="1">
      <c r="A174" s="1076" t="s">
        <v>1400</v>
      </c>
      <c r="B174" s="1070" t="s">
        <v>1231</v>
      </c>
      <c r="C174" s="1070">
        <v>7120</v>
      </c>
      <c r="D174" s="1070">
        <v>7090</v>
      </c>
      <c r="E174" s="1070">
        <v>7500</v>
      </c>
      <c r="F174" s="1088">
        <v>1490</v>
      </c>
      <c r="H174" s="1095"/>
    </row>
    <row r="175" spans="1:8" s="1064" customFormat="1" ht="14.25" customHeight="1" thickBot="1">
      <c r="A175" s="1076" t="s">
        <v>1400</v>
      </c>
      <c r="B175" s="1070" t="s">
        <v>1241</v>
      </c>
      <c r="C175" s="1070">
        <v>7850</v>
      </c>
      <c r="D175" s="1070">
        <v>7820</v>
      </c>
      <c r="E175" s="1070">
        <v>8120</v>
      </c>
      <c r="F175" s="1088">
        <v>1530</v>
      </c>
      <c r="H175" s="1095"/>
    </row>
    <row r="176" spans="1:8" s="1064" customFormat="1" ht="14.25" customHeight="1" thickBot="1">
      <c r="A176" s="1076" t="s">
        <v>1400</v>
      </c>
      <c r="B176" s="1070" t="s">
        <v>1251</v>
      </c>
      <c r="C176" s="1070">
        <v>7620</v>
      </c>
      <c r="D176" s="1070">
        <v>7570</v>
      </c>
      <c r="E176" s="1070">
        <v>7990</v>
      </c>
      <c r="F176" s="1088">
        <v>1480</v>
      </c>
      <c r="H176" s="1095"/>
    </row>
    <row r="177" spans="1:8" s="1064" customFormat="1" ht="14.25" customHeight="1" thickBot="1">
      <c r="A177" s="1076" t="s">
        <v>1400</v>
      </c>
      <c r="B177" s="1070" t="s">
        <v>1260</v>
      </c>
      <c r="C177" s="1070">
        <v>8590</v>
      </c>
      <c r="D177" s="1070">
        <v>8570</v>
      </c>
      <c r="E177" s="1070">
        <v>8740</v>
      </c>
      <c r="F177" s="1088">
        <v>1540</v>
      </c>
      <c r="H177" s="1095"/>
    </row>
    <row r="178" spans="1:8" s="1064" customFormat="1" ht="14.25" customHeight="1" thickBot="1">
      <c r="A178" s="1076" t="s">
        <v>1400</v>
      </c>
      <c r="B178" s="1070" t="s">
        <v>1269</v>
      </c>
      <c r="C178" s="1070">
        <v>7510</v>
      </c>
      <c r="D178" s="1070">
        <v>7470</v>
      </c>
      <c r="E178" s="1070">
        <v>8090</v>
      </c>
      <c r="F178" s="1088">
        <v>1320</v>
      </c>
      <c r="H178" s="1095"/>
    </row>
    <row r="179" spans="1:8" s="1064" customFormat="1" ht="14.25" customHeight="1" thickBot="1">
      <c r="A179" s="1076" t="s">
        <v>1400</v>
      </c>
      <c r="B179" s="1070" t="s">
        <v>1277</v>
      </c>
      <c r="C179" s="1070">
        <v>6380</v>
      </c>
      <c r="D179" s="1070">
        <v>6340</v>
      </c>
      <c r="E179" s="1070">
        <v>6810</v>
      </c>
      <c r="F179" s="1097"/>
      <c r="H179" s="1095"/>
    </row>
    <row r="180" spans="1:8" s="1064" customFormat="1" ht="14.25" customHeight="1" thickBot="1">
      <c r="A180" s="1076" t="s">
        <v>1400</v>
      </c>
      <c r="B180" s="1070" t="s">
        <v>1284</v>
      </c>
      <c r="C180" s="1070">
        <v>7830</v>
      </c>
      <c r="D180" s="1070">
        <v>7800</v>
      </c>
      <c r="E180" s="1070">
        <v>7780</v>
      </c>
      <c r="F180" s="1088">
        <v>1440</v>
      </c>
      <c r="H180" s="1095"/>
    </row>
    <row r="181" spans="1:8" s="1064" customFormat="1" ht="14.25" customHeight="1" thickBot="1">
      <c r="A181" s="1076" t="s">
        <v>1400</v>
      </c>
      <c r="B181" s="1070" t="s">
        <v>1291</v>
      </c>
      <c r="C181" s="1070">
        <v>7110</v>
      </c>
      <c r="D181" s="1070">
        <v>7080</v>
      </c>
      <c r="E181" s="1070">
        <v>7730</v>
      </c>
      <c r="F181" s="1088">
        <v>1350</v>
      </c>
      <c r="H181" s="1095"/>
    </row>
    <row r="182" spans="1:8" s="1064" customFormat="1" ht="14.25" customHeight="1" thickBot="1">
      <c r="A182" s="1076" t="s">
        <v>1400</v>
      </c>
      <c r="B182" s="1070" t="s">
        <v>1298</v>
      </c>
      <c r="C182" s="1070">
        <v>7310</v>
      </c>
      <c r="D182" s="1070">
        <v>7280</v>
      </c>
      <c r="E182" s="1070">
        <v>7950</v>
      </c>
      <c r="F182" s="1088">
        <v>1220</v>
      </c>
      <c r="H182" s="1095"/>
    </row>
    <row r="183" spans="1:8" s="1064" customFormat="1" ht="14.25" customHeight="1" thickBot="1">
      <c r="A183" s="1076" t="s">
        <v>1400</v>
      </c>
      <c r="B183" s="1070" t="s">
        <v>1305</v>
      </c>
      <c r="C183" s="1070">
        <v>7470</v>
      </c>
      <c r="D183" s="1070">
        <v>7440</v>
      </c>
      <c r="E183" s="1070">
        <v>7880</v>
      </c>
      <c r="F183" s="1097"/>
      <c r="H183" s="1095"/>
    </row>
    <row r="184" spans="1:8" s="1064" customFormat="1" ht="14.25" customHeight="1" thickBot="1">
      <c r="A184" s="1076" t="s">
        <v>1400</v>
      </c>
      <c r="B184" s="1070" t="s">
        <v>1312</v>
      </c>
      <c r="C184" s="1070">
        <v>6960</v>
      </c>
      <c r="D184" s="1070">
        <v>6930</v>
      </c>
      <c r="E184" s="1070">
        <v>7570</v>
      </c>
      <c r="F184" s="1097"/>
      <c r="H184" s="1095"/>
    </row>
    <row r="185" spans="1:8" s="1064" customFormat="1" ht="14.25" customHeight="1" thickBot="1">
      <c r="A185" s="1076" t="s">
        <v>1400</v>
      </c>
      <c r="B185" s="1070" t="s">
        <v>1319</v>
      </c>
      <c r="C185" s="1070">
        <v>7260</v>
      </c>
      <c r="D185" s="1070">
        <v>7230</v>
      </c>
      <c r="E185" s="1070">
        <v>7710</v>
      </c>
      <c r="F185" s="1088">
        <v>1360</v>
      </c>
      <c r="H185" s="1095"/>
    </row>
    <row r="186" spans="1:8" s="1064" customFormat="1" ht="14.25" customHeight="1" thickBot="1">
      <c r="A186" s="1076" t="s">
        <v>1400</v>
      </c>
      <c r="B186" s="1070" t="s">
        <v>1324</v>
      </c>
      <c r="C186" s="1070"/>
      <c r="D186" s="1070"/>
      <c r="E186" s="1070"/>
      <c r="F186" s="1088">
        <v>1560</v>
      </c>
      <c r="H186" s="1095"/>
    </row>
    <row r="187" spans="1:8" s="1064" customFormat="1" ht="14.25" customHeight="1" thickBot="1">
      <c r="A187" s="1076" t="s">
        <v>1400</v>
      </c>
      <c r="B187" s="1070" t="s">
        <v>1328</v>
      </c>
      <c r="C187" s="1070"/>
      <c r="D187" s="1070"/>
      <c r="E187" s="1070"/>
      <c r="F187" s="1088">
        <v>1560</v>
      </c>
      <c r="H187" s="1095"/>
    </row>
    <row r="188" spans="1:8" s="1064" customFormat="1" ht="14.25" customHeight="1" thickBot="1">
      <c r="A188" s="1076" t="s">
        <v>1400</v>
      </c>
      <c r="B188" s="1070" t="s">
        <v>1333</v>
      </c>
      <c r="C188" s="1070"/>
      <c r="D188" s="1070"/>
      <c r="E188" s="1070"/>
      <c r="F188" s="1088">
        <v>1560</v>
      </c>
      <c r="H188" s="1095"/>
    </row>
    <row r="189" spans="1:8" s="1064" customFormat="1" ht="14.25" customHeight="1" thickBot="1">
      <c r="A189" s="1076" t="s">
        <v>1400</v>
      </c>
      <c r="B189" s="1070" t="s">
        <v>1338</v>
      </c>
      <c r="C189" s="1070"/>
      <c r="D189" s="1070"/>
      <c r="E189" s="1070"/>
      <c r="F189" s="1088">
        <v>1320</v>
      </c>
      <c r="H189" s="1095"/>
    </row>
    <row r="190" spans="1:8" s="1064" customFormat="1" ht="14.25" customHeight="1" thickBot="1">
      <c r="A190" s="1076" t="s">
        <v>1400</v>
      </c>
      <c r="B190" s="1070" t="s">
        <v>1343</v>
      </c>
      <c r="C190" s="1070"/>
      <c r="D190" s="1070"/>
      <c r="E190" s="1070"/>
      <c r="F190" s="1088">
        <v>1320</v>
      </c>
      <c r="H190" s="1095"/>
    </row>
    <row r="191" spans="1:8" s="1064" customFormat="1" ht="14.25" customHeight="1" thickBot="1">
      <c r="A191" s="1076" t="s">
        <v>1400</v>
      </c>
      <c r="B191" s="1070" t="s">
        <v>1348</v>
      </c>
      <c r="C191" s="1070"/>
      <c r="D191" s="1070"/>
      <c r="E191" s="1070"/>
      <c r="F191" s="1088">
        <v>1320</v>
      </c>
      <c r="H191" s="1095"/>
    </row>
    <row r="192" spans="1:8" s="1064" customFormat="1" ht="14.25" customHeight="1" thickBot="1">
      <c r="A192" s="1076" t="s">
        <v>1400</v>
      </c>
      <c r="B192" s="1070" t="s">
        <v>1352</v>
      </c>
      <c r="C192" s="1070"/>
      <c r="D192" s="1070"/>
      <c r="E192" s="1070"/>
      <c r="F192" s="1088">
        <v>1100</v>
      </c>
      <c r="H192" s="1095"/>
    </row>
    <row r="193" spans="1:8" s="1064" customFormat="1" ht="14.25" customHeight="1" thickBot="1">
      <c r="A193" s="1076" t="s">
        <v>1400</v>
      </c>
      <c r="B193" s="1070" t="s">
        <v>1356</v>
      </c>
      <c r="C193" s="1070"/>
      <c r="D193" s="1070"/>
      <c r="E193" s="1070"/>
      <c r="F193" s="1088">
        <v>1100</v>
      </c>
      <c r="H193" s="1095"/>
    </row>
    <row r="194" spans="1:8" s="1064" customFormat="1" ht="14.25" customHeight="1" thickBot="1">
      <c r="A194" s="1076" t="s">
        <v>1400</v>
      </c>
      <c r="B194" s="1070" t="s">
        <v>1360</v>
      </c>
      <c r="C194" s="1070"/>
      <c r="D194" s="1070"/>
      <c r="E194" s="1070"/>
      <c r="F194" s="1088">
        <v>1080</v>
      </c>
      <c r="H194" s="1095"/>
    </row>
    <row r="195" spans="1:8" s="1064" customFormat="1" ht="14.25" customHeight="1" thickBot="1">
      <c r="A195" s="1076" t="s">
        <v>1400</v>
      </c>
      <c r="B195" s="1070" t="s">
        <v>1364</v>
      </c>
      <c r="C195" s="1070"/>
      <c r="D195" s="1070"/>
      <c r="E195" s="1070"/>
      <c r="F195" s="1088">
        <v>1270</v>
      </c>
      <c r="H195" s="1095"/>
    </row>
    <row r="196" spans="1:8" s="1064" customFormat="1" ht="14.25" customHeight="1" thickBot="1">
      <c r="A196" s="1076" t="s">
        <v>1400</v>
      </c>
      <c r="B196" s="1070" t="s">
        <v>1368</v>
      </c>
      <c r="C196" s="1070"/>
      <c r="D196" s="1070"/>
      <c r="E196" s="1070"/>
      <c r="F196" s="1088">
        <v>1150</v>
      </c>
      <c r="H196" s="1095"/>
    </row>
    <row r="197" spans="1:8" s="1064" customFormat="1" ht="14.25" customHeight="1" thickBot="1">
      <c r="A197" s="1076" t="s">
        <v>1400</v>
      </c>
      <c r="B197" s="1070" t="s">
        <v>1372</v>
      </c>
      <c r="C197" s="1070"/>
      <c r="D197" s="1070"/>
      <c r="E197" s="1070"/>
      <c r="F197" s="1088">
        <v>1330</v>
      </c>
      <c r="H197" s="1095"/>
    </row>
    <row r="198" spans="1:8" s="1064" customFormat="1" ht="14.25" customHeight="1" thickBot="1">
      <c r="A198" s="1076" t="s">
        <v>1400</v>
      </c>
      <c r="B198" s="1070" t="s">
        <v>1375</v>
      </c>
      <c r="C198" s="1070"/>
      <c r="D198" s="1070"/>
      <c r="E198" s="1070"/>
      <c r="F198" s="1088">
        <v>1170</v>
      </c>
      <c r="H198" s="1095"/>
    </row>
    <row r="199" spans="1:8" s="1064" customFormat="1" ht="14.25" customHeight="1" thickBot="1">
      <c r="A199" s="1076" t="s">
        <v>1400</v>
      </c>
      <c r="B199" s="1070" t="s">
        <v>1378</v>
      </c>
      <c r="C199" s="1070"/>
      <c r="D199" s="1070"/>
      <c r="E199" s="1070"/>
      <c r="F199" s="1088">
        <v>1120</v>
      </c>
      <c r="H199" s="1095"/>
    </row>
    <row r="200" spans="1:8" s="1064" customFormat="1" ht="14.25" customHeight="1" thickBot="1">
      <c r="A200" s="1076" t="s">
        <v>1400</v>
      </c>
      <c r="B200" s="1070" t="s">
        <v>1381</v>
      </c>
      <c r="C200" s="1070"/>
      <c r="D200" s="1070"/>
      <c r="E200" s="1070"/>
      <c r="F200" s="1088">
        <v>1120</v>
      </c>
      <c r="H200" s="1095"/>
    </row>
    <row r="201" spans="1:8" s="1064" customFormat="1" ht="14.25" customHeight="1" thickBot="1">
      <c r="A201" s="1076" t="s">
        <v>1400</v>
      </c>
      <c r="B201" s="1070" t="s">
        <v>1384</v>
      </c>
      <c r="C201" s="1070"/>
      <c r="D201" s="1070"/>
      <c r="E201" s="1070"/>
      <c r="F201" s="1088">
        <v>1540</v>
      </c>
      <c r="H201" s="1095"/>
    </row>
    <row r="202" spans="1:8" s="1064" customFormat="1" ht="14.25" customHeight="1" thickBot="1">
      <c r="A202" s="1076" t="s">
        <v>1400</v>
      </c>
      <c r="B202" s="1070" t="s">
        <v>1387</v>
      </c>
      <c r="C202" s="1070"/>
      <c r="D202" s="1070"/>
      <c r="E202" s="1070"/>
      <c r="F202" s="1088">
        <v>1310</v>
      </c>
      <c r="H202" s="1095"/>
    </row>
    <row r="203" spans="1:8" s="1064" customFormat="1" ht="14.25" customHeight="1" thickBot="1">
      <c r="A203" s="1076" t="s">
        <v>1400</v>
      </c>
      <c r="B203" s="1070" t="s">
        <v>1390</v>
      </c>
      <c r="C203" s="1070"/>
      <c r="D203" s="1070"/>
      <c r="E203" s="1070"/>
      <c r="F203" s="1088">
        <v>1310</v>
      </c>
      <c r="H203" s="1095"/>
    </row>
    <row r="204" spans="1:8" s="1064" customFormat="1" ht="14.25" customHeight="1" thickBot="1">
      <c r="A204" s="1076" t="s">
        <v>1400</v>
      </c>
      <c r="B204" s="1070" t="s">
        <v>1392</v>
      </c>
      <c r="C204" s="1070"/>
      <c r="D204" s="1070"/>
      <c r="E204" s="1070"/>
      <c r="F204" s="1088">
        <v>1080</v>
      </c>
      <c r="H204" s="1095"/>
    </row>
    <row r="205" spans="1:8" s="1064" customFormat="1" ht="14.25" customHeight="1" thickBot="1">
      <c r="A205" s="1076" t="s">
        <v>1400</v>
      </c>
      <c r="B205" s="1070" t="s">
        <v>1395</v>
      </c>
      <c r="C205" s="1070"/>
      <c r="D205" s="1070"/>
      <c r="E205" s="1070"/>
      <c r="F205" s="1088">
        <v>1080</v>
      </c>
      <c r="H205" s="1095"/>
    </row>
    <row r="206" spans="1:8" s="1064" customFormat="1" ht="14.25" customHeight="1" thickBot="1">
      <c r="A206" s="1076" t="s">
        <v>1402</v>
      </c>
      <c r="B206" s="1077" t="s">
        <v>1403</v>
      </c>
      <c r="C206" s="1077">
        <v>5450</v>
      </c>
      <c r="D206" s="1077">
        <v>5430</v>
      </c>
      <c r="E206" s="1077">
        <v>5700</v>
      </c>
      <c r="F206" s="1078">
        <v>1020</v>
      </c>
      <c r="H206" s="1095"/>
    </row>
    <row r="207" spans="1:8" s="1064" customFormat="1" ht="14.25" customHeight="1" thickBot="1">
      <c r="A207" s="1076" t="s">
        <v>1402</v>
      </c>
      <c r="B207" s="1070" t="s">
        <v>1066</v>
      </c>
      <c r="C207" s="1070">
        <v>5860</v>
      </c>
      <c r="D207" s="1070">
        <v>5820</v>
      </c>
      <c r="E207" s="1070">
        <v>6050</v>
      </c>
      <c r="F207" s="1088">
        <v>1080</v>
      </c>
      <c r="H207" s="1095"/>
    </row>
    <row r="208" spans="1:8" s="1064" customFormat="1" ht="14.25" customHeight="1" thickBot="1">
      <c r="A208" s="1076" t="s">
        <v>1402</v>
      </c>
      <c r="B208" s="1070" t="s">
        <v>1080</v>
      </c>
      <c r="C208" s="1070">
        <v>4630</v>
      </c>
      <c r="D208" s="1070">
        <v>4600</v>
      </c>
      <c r="E208" s="1070">
        <v>4840</v>
      </c>
      <c r="F208" s="1088">
        <v>900</v>
      </c>
      <c r="H208" s="1095"/>
    </row>
    <row r="209" spans="1:8" s="1064" customFormat="1" ht="14.25" customHeight="1" thickBot="1">
      <c r="A209" s="1076" t="s">
        <v>1402</v>
      </c>
      <c r="B209" s="1070" t="s">
        <v>1093</v>
      </c>
      <c r="C209" s="1070">
        <v>5320</v>
      </c>
      <c r="D209" s="1070">
        <v>5270</v>
      </c>
      <c r="E209" s="1070">
        <v>5540</v>
      </c>
      <c r="F209" s="1088">
        <v>980</v>
      </c>
      <c r="H209" s="1095"/>
    </row>
    <row r="210" spans="1:8" s="1064" customFormat="1" ht="14.25" customHeight="1" thickBot="1">
      <c r="A210" s="1076" t="s">
        <v>1402</v>
      </c>
      <c r="B210" s="1070" t="s">
        <v>1107</v>
      </c>
      <c r="C210" s="1070">
        <v>5760</v>
      </c>
      <c r="D210" s="1070">
        <v>5710</v>
      </c>
      <c r="E210" s="1070">
        <v>6010</v>
      </c>
      <c r="F210" s="1088">
        <v>870</v>
      </c>
      <c r="H210" s="1095"/>
    </row>
    <row r="211" spans="1:8" s="1064" customFormat="1" ht="14.25" customHeight="1" thickBot="1">
      <c r="A211" s="1076" t="s">
        <v>1402</v>
      </c>
      <c r="B211" s="1070" t="s">
        <v>1118</v>
      </c>
      <c r="C211" s="1070">
        <v>4160</v>
      </c>
      <c r="D211" s="1070">
        <v>4100</v>
      </c>
      <c r="E211" s="1070">
        <v>4270</v>
      </c>
      <c r="F211" s="1088">
        <v>790</v>
      </c>
      <c r="H211" s="1095"/>
    </row>
    <row r="212" spans="1:8" s="1064" customFormat="1" ht="14.25" customHeight="1" thickBot="1">
      <c r="A212" s="1076" t="s">
        <v>1402</v>
      </c>
      <c r="B212" s="1070" t="s">
        <v>1129</v>
      </c>
      <c r="C212" s="1070">
        <v>4880</v>
      </c>
      <c r="D212" s="1070">
        <v>4850</v>
      </c>
      <c r="E212" s="1070">
        <v>5110</v>
      </c>
      <c r="F212" s="1088">
        <v>940</v>
      </c>
      <c r="H212" s="1095"/>
    </row>
    <row r="213" spans="1:8" s="1064" customFormat="1" ht="14.25" customHeight="1" thickBot="1">
      <c r="A213" s="1076" t="s">
        <v>1402</v>
      </c>
      <c r="B213" s="1070" t="s">
        <v>1140</v>
      </c>
      <c r="C213" s="1070">
        <v>4640</v>
      </c>
      <c r="D213" s="1070">
        <v>4590</v>
      </c>
      <c r="E213" s="1070">
        <v>4700</v>
      </c>
      <c r="F213" s="1088">
        <v>1030</v>
      </c>
      <c r="H213" s="1095"/>
    </row>
    <row r="214" spans="1:8" s="1064" customFormat="1" ht="14.25" customHeight="1" thickBot="1">
      <c r="A214" s="1076" t="s">
        <v>1402</v>
      </c>
      <c r="B214" s="1070" t="s">
        <v>1152</v>
      </c>
      <c r="C214" s="1070">
        <v>4540</v>
      </c>
      <c r="D214" s="1070">
        <v>4490</v>
      </c>
      <c r="E214" s="1070">
        <v>4610</v>
      </c>
      <c r="F214" s="1097"/>
      <c r="H214" s="1095"/>
    </row>
    <row r="215" spans="1:8" s="1064" customFormat="1" ht="14.25" customHeight="1" thickBot="1">
      <c r="A215" s="1076" t="s">
        <v>1402</v>
      </c>
      <c r="B215" s="1070" t="s">
        <v>1162</v>
      </c>
      <c r="C215" s="1070">
        <v>5280</v>
      </c>
      <c r="D215" s="1070">
        <v>5250</v>
      </c>
      <c r="E215" s="1070">
        <v>5520</v>
      </c>
      <c r="F215" s="1088">
        <v>1000</v>
      </c>
      <c r="H215" s="1095"/>
    </row>
    <row r="216" spans="1:8" s="1064" customFormat="1" ht="14.25" customHeight="1" thickBot="1">
      <c r="A216" s="1076" t="s">
        <v>1402</v>
      </c>
      <c r="B216" s="1070" t="s">
        <v>1172</v>
      </c>
      <c r="C216" s="1070">
        <v>5100</v>
      </c>
      <c r="D216" s="1070">
        <v>5050</v>
      </c>
      <c r="E216" s="1070">
        <v>5300</v>
      </c>
      <c r="F216" s="1088">
        <v>950</v>
      </c>
      <c r="H216" s="1095"/>
    </row>
    <row r="217" spans="1:8" s="1064" customFormat="1" ht="14.25" customHeight="1" thickBot="1">
      <c r="A217" s="1076" t="s">
        <v>1402</v>
      </c>
      <c r="B217" s="1070" t="s">
        <v>1182</v>
      </c>
      <c r="C217" s="1070">
        <v>5370</v>
      </c>
      <c r="D217" s="1070">
        <v>5320</v>
      </c>
      <c r="E217" s="1070">
        <v>5410</v>
      </c>
      <c r="F217" s="1088">
        <v>950</v>
      </c>
      <c r="H217" s="1095"/>
    </row>
    <row r="218" spans="1:8" s="1064" customFormat="1" ht="14.25" customHeight="1" thickBot="1">
      <c r="A218" s="1076" t="s">
        <v>1402</v>
      </c>
      <c r="B218" s="1070" t="s">
        <v>1192</v>
      </c>
      <c r="C218" s="1070">
        <v>5540</v>
      </c>
      <c r="D218" s="1070">
        <v>5480</v>
      </c>
      <c r="E218" s="1070">
        <v>5740</v>
      </c>
      <c r="F218" s="1088">
        <v>1020</v>
      </c>
      <c r="H218" s="1095"/>
    </row>
    <row r="219" spans="1:8" s="1064" customFormat="1" ht="14.25" customHeight="1" thickBot="1">
      <c r="A219" s="1076" t="s">
        <v>1402</v>
      </c>
      <c r="B219" s="1070" t="s">
        <v>1202</v>
      </c>
      <c r="C219" s="1070">
        <v>5140</v>
      </c>
      <c r="D219" s="1070">
        <v>5100</v>
      </c>
      <c r="E219" s="1070">
        <v>5350</v>
      </c>
      <c r="F219" s="1088">
        <v>1120</v>
      </c>
      <c r="H219" s="1095"/>
    </row>
    <row r="220" spans="1:8" s="1064" customFormat="1" ht="14.25" customHeight="1" thickBot="1">
      <c r="A220" s="1076" t="s">
        <v>1402</v>
      </c>
      <c r="B220" s="1070" t="s">
        <v>1212</v>
      </c>
      <c r="C220" s="1070">
        <v>5040</v>
      </c>
      <c r="D220" s="1070">
        <v>5000</v>
      </c>
      <c r="E220" s="1070">
        <v>5240</v>
      </c>
      <c r="F220" s="1088">
        <v>980</v>
      </c>
      <c r="H220" s="1095"/>
    </row>
    <row r="221" spans="1:8" s="1064" customFormat="1" ht="14.25" customHeight="1" thickBot="1">
      <c r="A221" s="1076" t="s">
        <v>1402</v>
      </c>
      <c r="B221" s="1070" t="s">
        <v>1222</v>
      </c>
      <c r="C221" s="1098"/>
      <c r="D221" s="1098"/>
      <c r="E221" s="1098"/>
      <c r="F221" s="1088">
        <v>1070</v>
      </c>
      <c r="H221" s="1095"/>
    </row>
    <row r="222" spans="1:8" s="1064" customFormat="1" ht="14.25" customHeight="1" thickBot="1">
      <c r="A222" s="1076" t="s">
        <v>1402</v>
      </c>
      <c r="B222" s="1070" t="s">
        <v>1232</v>
      </c>
      <c r="C222" s="1098"/>
      <c r="D222" s="1098"/>
      <c r="E222" s="1098"/>
      <c r="F222" s="1088">
        <v>870</v>
      </c>
      <c r="H222" s="1095"/>
    </row>
    <row r="223" spans="1:8" s="1064" customFormat="1" ht="14.25" customHeight="1" thickBot="1">
      <c r="A223" s="1076" t="s">
        <v>1402</v>
      </c>
      <c r="B223" s="1070" t="s">
        <v>1242</v>
      </c>
      <c r="C223" s="1098"/>
      <c r="D223" s="1098"/>
      <c r="E223" s="1098"/>
      <c r="F223" s="1088">
        <v>940</v>
      </c>
      <c r="H223" s="1095"/>
    </row>
    <row r="224" spans="1:8" s="1064" customFormat="1" ht="14.25" customHeight="1" thickBot="1">
      <c r="A224" s="1076" t="s">
        <v>1402</v>
      </c>
      <c r="B224" s="1070" t="s">
        <v>1252</v>
      </c>
      <c r="C224" s="1098"/>
      <c r="D224" s="1098"/>
      <c r="E224" s="1098"/>
      <c r="F224" s="1088">
        <v>990</v>
      </c>
      <c r="H224" s="1095"/>
    </row>
    <row r="225" spans="1:8" s="1064" customFormat="1" ht="14.25" customHeight="1" thickBot="1">
      <c r="A225" s="1076" t="s">
        <v>1402</v>
      </c>
      <c r="B225" s="1070" t="s">
        <v>1261</v>
      </c>
      <c r="C225" s="1070">
        <v>5730</v>
      </c>
      <c r="D225" s="1070">
        <v>5680</v>
      </c>
      <c r="E225" s="1070">
        <v>6020</v>
      </c>
      <c r="F225" s="1088">
        <v>1000</v>
      </c>
      <c r="H225" s="1095"/>
    </row>
    <row r="226" spans="1:8" s="1064" customFormat="1" ht="14.25" customHeight="1" thickBot="1">
      <c r="A226" s="1076" t="s">
        <v>1402</v>
      </c>
      <c r="B226" s="1070" t="s">
        <v>1270</v>
      </c>
      <c r="C226" s="1070">
        <v>4970</v>
      </c>
      <c r="D226" s="1070">
        <v>4940</v>
      </c>
      <c r="E226" s="1070">
        <v>5180</v>
      </c>
      <c r="F226" s="1088">
        <v>960</v>
      </c>
      <c r="H226" s="1095"/>
    </row>
    <row r="227" spans="1:8" s="1064" customFormat="1" ht="14.25" customHeight="1" thickBot="1">
      <c r="A227" s="1076" t="s">
        <v>1402</v>
      </c>
      <c r="B227" s="1070" t="s">
        <v>1278</v>
      </c>
      <c r="C227" s="1070">
        <v>5550</v>
      </c>
      <c r="D227" s="1070">
        <v>5500</v>
      </c>
      <c r="E227" s="1070">
        <v>5780</v>
      </c>
      <c r="F227" s="1088">
        <v>940</v>
      </c>
      <c r="H227" s="1095"/>
    </row>
    <row r="228" spans="1:8" s="1064" customFormat="1" ht="14.25" customHeight="1" thickBot="1">
      <c r="A228" s="1076" t="s">
        <v>1402</v>
      </c>
      <c r="B228" s="1070" t="s">
        <v>1285</v>
      </c>
      <c r="C228" s="1070">
        <v>5460</v>
      </c>
      <c r="D228" s="1070">
        <v>5420</v>
      </c>
      <c r="E228" s="1070">
        <v>5690</v>
      </c>
      <c r="F228" s="1088">
        <v>910</v>
      </c>
      <c r="H228" s="1095"/>
    </row>
    <row r="229" spans="1:8" s="1064" customFormat="1" ht="14.25" customHeight="1" thickBot="1">
      <c r="A229" s="1076" t="s">
        <v>1402</v>
      </c>
      <c r="B229" s="1070" t="s">
        <v>1292</v>
      </c>
      <c r="C229" s="1070">
        <v>5310</v>
      </c>
      <c r="D229" s="1070">
        <v>5270</v>
      </c>
      <c r="E229" s="1070">
        <v>5510</v>
      </c>
      <c r="F229" s="1097"/>
      <c r="H229" s="1095"/>
    </row>
    <row r="230" spans="1:8" s="1064" customFormat="1" ht="14.25" customHeight="1" thickBot="1">
      <c r="A230" s="1076" t="s">
        <v>1402</v>
      </c>
      <c r="B230" s="1070" t="s">
        <v>1299</v>
      </c>
      <c r="C230" s="1070">
        <v>4540</v>
      </c>
      <c r="D230" s="1070">
        <v>4500</v>
      </c>
      <c r="E230" s="1070">
        <v>4730</v>
      </c>
      <c r="F230" s="1097"/>
      <c r="H230" s="1095"/>
    </row>
    <row r="231" spans="1:8" s="1064" customFormat="1" ht="14.25" customHeight="1" thickBot="1">
      <c r="A231" s="1076" t="s">
        <v>1402</v>
      </c>
      <c r="B231" s="1070" t="s">
        <v>1306</v>
      </c>
      <c r="C231" s="1070">
        <v>4480</v>
      </c>
      <c r="D231" s="1070">
        <v>4410</v>
      </c>
      <c r="E231" s="1070">
        <v>4640</v>
      </c>
      <c r="F231" s="1097"/>
      <c r="H231" s="1095"/>
    </row>
    <row r="232" spans="1:8" s="1064" customFormat="1" ht="14.25" customHeight="1" thickBot="1">
      <c r="A232" s="1076" t="s">
        <v>1402</v>
      </c>
      <c r="B232" s="1070" t="s">
        <v>1313</v>
      </c>
      <c r="C232" s="1070">
        <v>5670</v>
      </c>
      <c r="D232" s="1070">
        <v>5600</v>
      </c>
      <c r="E232" s="1070">
        <v>5890</v>
      </c>
      <c r="F232" s="1088">
        <v>1150</v>
      </c>
      <c r="H232" s="1095"/>
    </row>
    <row r="233" spans="1:8" s="1064" customFormat="1" ht="14.25" customHeight="1" thickBot="1">
      <c r="A233" s="1076" t="s">
        <v>1402</v>
      </c>
      <c r="B233" s="1070" t="s">
        <v>1320</v>
      </c>
      <c r="C233" s="1070">
        <v>4590</v>
      </c>
      <c r="D233" s="1070">
        <v>4500</v>
      </c>
      <c r="E233" s="1070">
        <v>4600</v>
      </c>
      <c r="F233" s="1097"/>
      <c r="H233" s="1095"/>
    </row>
    <row r="234" spans="1:8" s="1064" customFormat="1" ht="14.25" customHeight="1" thickBot="1">
      <c r="A234" s="1076" t="s">
        <v>1402</v>
      </c>
      <c r="B234" s="1070" t="s">
        <v>2409</v>
      </c>
      <c r="C234" s="1070">
        <v>3990</v>
      </c>
      <c r="D234" s="1070">
        <v>3950</v>
      </c>
      <c r="E234" s="1070">
        <v>4180</v>
      </c>
      <c r="F234" s="1097"/>
      <c r="H234" s="1095"/>
    </row>
    <row r="235" spans="1:8" s="1064" customFormat="1" ht="14.25" customHeight="1" thickBot="1">
      <c r="A235" s="1076" t="s">
        <v>1402</v>
      </c>
      <c r="B235" s="1070" t="s">
        <v>1329</v>
      </c>
      <c r="C235" s="1070">
        <v>5590</v>
      </c>
      <c r="D235" s="1070">
        <v>5540</v>
      </c>
      <c r="E235" s="1070">
        <v>5810</v>
      </c>
      <c r="F235" s="1088">
        <v>970</v>
      </c>
      <c r="H235" s="1095"/>
    </row>
    <row r="236" spans="1:8" s="1064" customFormat="1" ht="14.25" customHeight="1" thickBot="1">
      <c r="A236" s="1076" t="s">
        <v>1402</v>
      </c>
      <c r="B236" s="1070" t="s">
        <v>1334</v>
      </c>
      <c r="C236" s="1070"/>
      <c r="D236" s="1070"/>
      <c r="E236" s="1070"/>
      <c r="F236" s="1088">
        <v>1020</v>
      </c>
      <c r="H236" s="1095"/>
    </row>
    <row r="237" spans="1:8" s="1064" customFormat="1" ht="14.25" customHeight="1" thickBot="1">
      <c r="A237" s="1076" t="s">
        <v>1402</v>
      </c>
      <c r="B237" s="1070" t="s">
        <v>1339</v>
      </c>
      <c r="C237" s="1070"/>
      <c r="D237" s="1070"/>
      <c r="E237" s="1070"/>
      <c r="F237" s="1088">
        <v>960</v>
      </c>
      <c r="H237" s="1095"/>
    </row>
    <row r="238" spans="1:8" s="1064" customFormat="1" ht="14.25" customHeight="1" thickBot="1">
      <c r="A238" s="1076" t="s">
        <v>1402</v>
      </c>
      <c r="B238" s="1070" t="s">
        <v>1344</v>
      </c>
      <c r="C238" s="1070"/>
      <c r="D238" s="1070"/>
      <c r="E238" s="1070"/>
      <c r="F238" s="1088">
        <v>960</v>
      </c>
      <c r="H238" s="1095"/>
    </row>
    <row r="239" spans="1:8" s="1064" customFormat="1" ht="14.25" customHeight="1" thickBot="1">
      <c r="A239" s="1076" t="s">
        <v>1402</v>
      </c>
      <c r="B239" s="1070" t="s">
        <v>1349</v>
      </c>
      <c r="C239" s="1070"/>
      <c r="D239" s="1070"/>
      <c r="E239" s="1070"/>
      <c r="F239" s="1088">
        <v>960</v>
      </c>
      <c r="H239" s="1095"/>
    </row>
    <row r="240" spans="1:8" s="1064" customFormat="1" ht="14.25" customHeight="1" thickBot="1">
      <c r="A240" s="1076" t="s">
        <v>1402</v>
      </c>
      <c r="B240" s="1070" t="s">
        <v>1353</v>
      </c>
      <c r="C240" s="1070"/>
      <c r="D240" s="1070"/>
      <c r="E240" s="1070"/>
      <c r="F240" s="1088">
        <v>990</v>
      </c>
      <c r="H240" s="1095"/>
    </row>
    <row r="241" spans="1:8" s="1064" customFormat="1" ht="14.25" customHeight="1" thickBot="1">
      <c r="A241" s="1076" t="s">
        <v>1402</v>
      </c>
      <c r="B241" s="1070" t="s">
        <v>1357</v>
      </c>
      <c r="C241" s="1070"/>
      <c r="D241" s="1070"/>
      <c r="E241" s="1070"/>
      <c r="F241" s="1088">
        <v>1000</v>
      </c>
      <c r="H241" s="1095"/>
    </row>
    <row r="242" spans="1:8" s="1064" customFormat="1" ht="14.25" customHeight="1" thickBot="1">
      <c r="A242" s="1076" t="s">
        <v>1402</v>
      </c>
      <c r="B242" s="1070" t="s">
        <v>1361</v>
      </c>
      <c r="C242" s="1070"/>
      <c r="D242" s="1070"/>
      <c r="E242" s="1070"/>
      <c r="F242" s="1088">
        <v>980</v>
      </c>
      <c r="H242" s="1095"/>
    </row>
    <row r="243" spans="1:8" s="1064" customFormat="1" ht="14.25" customHeight="1" thickBot="1">
      <c r="A243" s="1076" t="s">
        <v>1402</v>
      </c>
      <c r="B243" s="1070" t="s">
        <v>1365</v>
      </c>
      <c r="C243" s="1070"/>
      <c r="D243" s="1070"/>
      <c r="E243" s="1070"/>
      <c r="F243" s="1088">
        <v>970</v>
      </c>
      <c r="H243" s="1095"/>
    </row>
    <row r="244" spans="1:8" s="1064" customFormat="1" ht="14.25" customHeight="1" thickBot="1">
      <c r="A244" s="1076" t="s">
        <v>1402</v>
      </c>
      <c r="B244" s="1086" t="s">
        <v>1369</v>
      </c>
      <c r="C244" s="1086"/>
      <c r="D244" s="1086"/>
      <c r="E244" s="1086"/>
      <c r="F244" s="1096">
        <v>970</v>
      </c>
      <c r="H244" s="1095"/>
    </row>
    <row r="245" spans="1:8" s="1064" customFormat="1" ht="14.25" customHeight="1" thickBot="1">
      <c r="A245" s="1076" t="s">
        <v>1404</v>
      </c>
      <c r="B245" s="1077" t="s">
        <v>1405</v>
      </c>
      <c r="C245" s="1077">
        <v>4050</v>
      </c>
      <c r="D245" s="1077">
        <v>4020</v>
      </c>
      <c r="E245" s="1077">
        <v>4160</v>
      </c>
      <c r="F245" s="1078">
        <v>840</v>
      </c>
      <c r="H245" s="1095"/>
    </row>
    <row r="246" spans="1:8" s="1064" customFormat="1" ht="14.25" customHeight="1" thickBot="1">
      <c r="A246" s="1076" t="s">
        <v>1404</v>
      </c>
      <c r="B246" s="1070" t="s">
        <v>1067</v>
      </c>
      <c r="C246" s="1070">
        <v>4010</v>
      </c>
      <c r="D246" s="1070">
        <v>3960</v>
      </c>
      <c r="E246" s="1070">
        <v>4130</v>
      </c>
      <c r="F246" s="1088">
        <v>840</v>
      </c>
      <c r="H246" s="1095"/>
    </row>
    <row r="247" spans="1:8" s="1064" customFormat="1" ht="14.25" customHeight="1" thickBot="1">
      <c r="A247" s="1076" t="s">
        <v>1404</v>
      </c>
      <c r="B247" s="1070" t="s">
        <v>1406</v>
      </c>
      <c r="C247" s="1070">
        <v>3170</v>
      </c>
      <c r="D247" s="1070">
        <v>3140</v>
      </c>
      <c r="E247" s="1070">
        <v>3270</v>
      </c>
      <c r="F247" s="1088">
        <v>640</v>
      </c>
      <c r="H247" s="1095"/>
    </row>
    <row r="248" spans="1:8" s="1064" customFormat="1" ht="14.25" customHeight="1" thickBot="1">
      <c r="A248" s="1076" t="s">
        <v>1404</v>
      </c>
      <c r="B248" s="1070" t="s">
        <v>1407</v>
      </c>
      <c r="C248" s="1070">
        <v>3140</v>
      </c>
      <c r="D248" s="1070">
        <v>3120</v>
      </c>
      <c r="E248" s="1070">
        <v>3240</v>
      </c>
      <c r="F248" s="1088">
        <v>620</v>
      </c>
      <c r="H248" s="1095"/>
    </row>
    <row r="249" spans="1:8" s="1064" customFormat="1" ht="14.25" customHeight="1" thickBot="1">
      <c r="A249" s="1076" t="s">
        <v>1404</v>
      </c>
      <c r="B249" s="1070" t="s">
        <v>1108</v>
      </c>
      <c r="C249" s="1070">
        <v>3200</v>
      </c>
      <c r="D249" s="1070">
        <v>3100</v>
      </c>
      <c r="E249" s="1070">
        <v>3230</v>
      </c>
      <c r="F249" s="1088">
        <v>750</v>
      </c>
      <c r="H249" s="1095"/>
    </row>
    <row r="250" spans="1:8" s="1064" customFormat="1" ht="14.25" customHeight="1" thickBot="1">
      <c r="A250" s="1076" t="s">
        <v>1404</v>
      </c>
      <c r="B250" s="1070" t="s">
        <v>1119</v>
      </c>
      <c r="C250" s="1070">
        <v>4060</v>
      </c>
      <c r="D250" s="1070">
        <v>4000</v>
      </c>
      <c r="E250" s="1070">
        <v>4140</v>
      </c>
      <c r="F250" s="1088">
        <v>790</v>
      </c>
      <c r="H250" s="1095"/>
    </row>
    <row r="251" spans="1:8" s="1064" customFormat="1" ht="14.25" customHeight="1" thickBot="1">
      <c r="A251" s="1076" t="s">
        <v>1404</v>
      </c>
      <c r="B251" s="1070" t="s">
        <v>1130</v>
      </c>
      <c r="C251" s="1070">
        <v>3990</v>
      </c>
      <c r="D251" s="1070">
        <v>3970</v>
      </c>
      <c r="E251" s="1070">
        <v>4110</v>
      </c>
      <c r="F251" s="1088">
        <v>730</v>
      </c>
      <c r="H251" s="1095"/>
    </row>
    <row r="252" spans="1:8" s="1064" customFormat="1" ht="14.25" customHeight="1" thickBot="1">
      <c r="A252" s="1076" t="s">
        <v>1404</v>
      </c>
      <c r="B252" s="1070" t="s">
        <v>1141</v>
      </c>
      <c r="C252" s="1070">
        <v>3560</v>
      </c>
      <c r="D252" s="1070">
        <v>3530</v>
      </c>
      <c r="E252" s="1070">
        <v>3650</v>
      </c>
      <c r="F252" s="1088">
        <v>750</v>
      </c>
      <c r="H252" s="1095"/>
    </row>
    <row r="253" spans="1:8" s="1064" customFormat="1" ht="14.25" customHeight="1" thickBot="1">
      <c r="A253" s="1076" t="s">
        <v>1404</v>
      </c>
      <c r="B253" s="1070" t="s">
        <v>1153</v>
      </c>
      <c r="C253" s="1070">
        <v>3780</v>
      </c>
      <c r="D253" s="1070">
        <v>3750</v>
      </c>
      <c r="E253" s="1070">
        <v>3870</v>
      </c>
      <c r="F253" s="1088">
        <v>770</v>
      </c>
      <c r="H253" s="1095"/>
    </row>
    <row r="254" spans="1:8" s="1064" customFormat="1" ht="14.25" customHeight="1" thickBot="1">
      <c r="A254" s="1076" t="s">
        <v>1404</v>
      </c>
      <c r="B254" s="1070" t="s">
        <v>1163</v>
      </c>
      <c r="C254" s="1098"/>
      <c r="D254" s="1098"/>
      <c r="E254" s="1098"/>
      <c r="F254" s="1088">
        <v>740</v>
      </c>
      <c r="H254" s="1095"/>
    </row>
    <row r="255" spans="1:8" s="1064" customFormat="1" ht="14.25" customHeight="1" thickBot="1">
      <c r="A255" s="1076" t="s">
        <v>1404</v>
      </c>
      <c r="B255" s="1070" t="s">
        <v>1173</v>
      </c>
      <c r="C255" s="1098"/>
      <c r="D255" s="1098"/>
      <c r="E255" s="1098"/>
      <c r="F255" s="1088">
        <v>760</v>
      </c>
      <c r="H255" s="1095"/>
    </row>
    <row r="256" spans="1:8" s="1064" customFormat="1" ht="14.25" customHeight="1" thickBot="1">
      <c r="A256" s="1076" t="s">
        <v>1404</v>
      </c>
      <c r="B256" s="1070" t="s">
        <v>1183</v>
      </c>
      <c r="C256" s="1070">
        <v>3760</v>
      </c>
      <c r="D256" s="1070">
        <v>3730</v>
      </c>
      <c r="E256" s="1070">
        <v>3870</v>
      </c>
      <c r="F256" s="1088">
        <v>830</v>
      </c>
      <c r="H256" s="1095"/>
    </row>
    <row r="257" spans="1:8" s="1064" customFormat="1" ht="14.25" customHeight="1" thickBot="1">
      <c r="A257" s="1076" t="s">
        <v>1404</v>
      </c>
      <c r="B257" s="1070" t="s">
        <v>1193</v>
      </c>
      <c r="C257" s="1070">
        <v>3570</v>
      </c>
      <c r="D257" s="1070">
        <v>3540</v>
      </c>
      <c r="E257" s="1070">
        <v>3650</v>
      </c>
      <c r="F257" s="1088">
        <v>790</v>
      </c>
      <c r="H257" s="1095"/>
    </row>
    <row r="258" spans="1:8" s="1064" customFormat="1" ht="14.25" customHeight="1" thickBot="1">
      <c r="A258" s="1076" t="s">
        <v>1404</v>
      </c>
      <c r="B258" s="1070" t="s">
        <v>1203</v>
      </c>
      <c r="C258" s="1070">
        <v>3410</v>
      </c>
      <c r="D258" s="1070">
        <v>3380</v>
      </c>
      <c r="E258" s="1070">
        <v>3500</v>
      </c>
      <c r="F258" s="1088">
        <v>830</v>
      </c>
      <c r="H258" s="1095"/>
    </row>
    <row r="259" spans="1:8" s="1064" customFormat="1" ht="14.25" customHeight="1" thickBot="1">
      <c r="A259" s="1076" t="s">
        <v>1404</v>
      </c>
      <c r="B259" s="1070" t="s">
        <v>1213</v>
      </c>
      <c r="C259" s="1070">
        <v>3870</v>
      </c>
      <c r="D259" s="1070">
        <v>3840</v>
      </c>
      <c r="E259" s="1070">
        <v>3970</v>
      </c>
      <c r="F259" s="1088">
        <v>830</v>
      </c>
      <c r="H259" s="1095"/>
    </row>
    <row r="260" spans="1:8" s="1064" customFormat="1" ht="14.25" customHeight="1" thickBot="1">
      <c r="A260" s="1076" t="s">
        <v>1404</v>
      </c>
      <c r="B260" s="1070" t="s">
        <v>1223</v>
      </c>
      <c r="C260" s="1070">
        <v>3700</v>
      </c>
      <c r="D260" s="1070">
        <v>3660</v>
      </c>
      <c r="E260" s="1070">
        <v>3810</v>
      </c>
      <c r="F260" s="1088">
        <v>790</v>
      </c>
      <c r="H260" s="1095"/>
    </row>
    <row r="261" spans="1:8" s="1064" customFormat="1" ht="14.25" customHeight="1" thickBot="1">
      <c r="A261" s="1076" t="s">
        <v>1404</v>
      </c>
      <c r="B261" s="1070" t="s">
        <v>1233</v>
      </c>
      <c r="C261" s="1070">
        <v>3470</v>
      </c>
      <c r="D261" s="1070">
        <v>3430</v>
      </c>
      <c r="E261" s="1070">
        <v>3640</v>
      </c>
      <c r="F261" s="1088">
        <v>760</v>
      </c>
      <c r="H261" s="1095"/>
    </row>
    <row r="262" spans="1:8" s="1064" customFormat="1" ht="14.25" customHeight="1" thickBot="1">
      <c r="A262" s="1076" t="s">
        <v>1404</v>
      </c>
      <c r="B262" s="1070" t="s">
        <v>1243</v>
      </c>
      <c r="C262" s="1070">
        <v>3510</v>
      </c>
      <c r="D262" s="1070">
        <v>3470</v>
      </c>
      <c r="E262" s="1070">
        <v>3680</v>
      </c>
      <c r="F262" s="1097"/>
      <c r="H262" s="1095"/>
    </row>
    <row r="263" spans="1:8" s="1064" customFormat="1" ht="14.25" customHeight="1" thickBot="1">
      <c r="A263" s="1076" t="s">
        <v>1404</v>
      </c>
      <c r="B263" s="1070" t="s">
        <v>1253</v>
      </c>
      <c r="C263" s="1070">
        <v>3960</v>
      </c>
      <c r="D263" s="1070">
        <v>3930</v>
      </c>
      <c r="E263" s="1070">
        <v>4070</v>
      </c>
      <c r="F263" s="1088">
        <v>830</v>
      </c>
      <c r="H263" s="1095"/>
    </row>
    <row r="264" spans="1:8" s="1064" customFormat="1" ht="14.25" customHeight="1" thickBot="1">
      <c r="A264" s="1076" t="s">
        <v>1404</v>
      </c>
      <c r="B264" s="1070" t="s">
        <v>1262</v>
      </c>
      <c r="C264" s="1070">
        <v>4010</v>
      </c>
      <c r="D264" s="1070">
        <v>3980</v>
      </c>
      <c r="E264" s="1070">
        <v>4150</v>
      </c>
      <c r="F264" s="1088">
        <v>760</v>
      </c>
      <c r="H264" s="1095"/>
    </row>
    <row r="265" spans="1:8" s="1064" customFormat="1" ht="14.25" customHeight="1" thickBot="1">
      <c r="A265" s="1076" t="s">
        <v>1404</v>
      </c>
      <c r="B265" s="1070" t="s">
        <v>1271</v>
      </c>
      <c r="C265" s="1070">
        <v>3910</v>
      </c>
      <c r="D265" s="1070">
        <v>3890</v>
      </c>
      <c r="E265" s="1070">
        <v>4040</v>
      </c>
      <c r="F265" s="1088">
        <v>780</v>
      </c>
      <c r="H265" s="1095"/>
    </row>
    <row r="266" spans="1:8" s="1064" customFormat="1" ht="14.25" customHeight="1" thickBot="1">
      <c r="A266" s="1076" t="s">
        <v>1404</v>
      </c>
      <c r="B266" s="1070" t="s">
        <v>1279</v>
      </c>
      <c r="C266" s="1070">
        <v>3930</v>
      </c>
      <c r="D266" s="1070">
        <v>3900</v>
      </c>
      <c r="E266" s="1070">
        <v>4080</v>
      </c>
      <c r="F266" s="1088">
        <v>770</v>
      </c>
      <c r="H266" s="1095"/>
    </row>
    <row r="267" spans="1:8" s="1064" customFormat="1" ht="14.25" customHeight="1" thickBot="1">
      <c r="A267" s="1076" t="s">
        <v>1404</v>
      </c>
      <c r="B267" s="1070" t="s">
        <v>1286</v>
      </c>
      <c r="C267" s="1070">
        <v>3800</v>
      </c>
      <c r="D267" s="1070">
        <v>3780</v>
      </c>
      <c r="E267" s="1070">
        <v>3930</v>
      </c>
      <c r="F267" s="1097"/>
      <c r="H267" s="1095"/>
    </row>
    <row r="268" spans="1:8" s="1064" customFormat="1" ht="14.25" customHeight="1" thickBot="1">
      <c r="A268" s="1076" t="s">
        <v>1404</v>
      </c>
      <c r="B268" s="1070" t="s">
        <v>1293</v>
      </c>
      <c r="C268" s="1070">
        <v>3460</v>
      </c>
      <c r="D268" s="1070">
        <v>3430</v>
      </c>
      <c r="E268" s="1070">
        <v>3560</v>
      </c>
      <c r="F268" s="1088">
        <v>840</v>
      </c>
      <c r="H268" s="1095"/>
    </row>
    <row r="269" spans="1:8" s="1064" customFormat="1" ht="14.25" customHeight="1" thickBot="1">
      <c r="A269" s="1076" t="s">
        <v>1404</v>
      </c>
      <c r="B269" s="1070" t="s">
        <v>1300</v>
      </c>
      <c r="C269" s="1070">
        <v>3210</v>
      </c>
      <c r="D269" s="1070">
        <v>3190</v>
      </c>
      <c r="E269" s="1070">
        <v>3310</v>
      </c>
      <c r="F269" s="1088">
        <v>730</v>
      </c>
      <c r="H269" s="1095"/>
    </row>
    <row r="270" spans="1:8" s="1064" customFormat="1" ht="14.25" customHeight="1" thickBot="1">
      <c r="A270" s="1076" t="s">
        <v>1404</v>
      </c>
      <c r="B270" s="1070" t="s">
        <v>1307</v>
      </c>
      <c r="C270" s="1070">
        <v>3240</v>
      </c>
      <c r="D270" s="1070">
        <v>3210</v>
      </c>
      <c r="E270" s="1070">
        <v>3390</v>
      </c>
      <c r="F270" s="1088">
        <v>820</v>
      </c>
      <c r="H270" s="1095"/>
    </row>
    <row r="271" spans="1:8" s="1064" customFormat="1" ht="14.25" customHeight="1" thickBot="1">
      <c r="A271" s="1076" t="s">
        <v>1404</v>
      </c>
      <c r="B271" s="1070" t="s">
        <v>1314</v>
      </c>
      <c r="C271" s="1070">
        <v>3300</v>
      </c>
      <c r="D271" s="1070">
        <v>3270</v>
      </c>
      <c r="E271" s="1070">
        <v>3380</v>
      </c>
      <c r="F271" s="1088">
        <v>750</v>
      </c>
      <c r="H271" s="1095"/>
    </row>
    <row r="272" spans="1:8" s="1064" customFormat="1" ht="14.25" customHeight="1" thickBot="1">
      <c r="A272" s="1076" t="s">
        <v>1404</v>
      </c>
      <c r="B272" s="1070" t="s">
        <v>1321</v>
      </c>
      <c r="C272" s="1098"/>
      <c r="D272" s="1098"/>
      <c r="E272" s="1098"/>
      <c r="F272" s="1088">
        <v>740</v>
      </c>
      <c r="H272" s="1095"/>
    </row>
    <row r="273" spans="1:8" s="1064" customFormat="1" ht="14.25" customHeight="1" thickBot="1">
      <c r="A273" s="1076" t="s">
        <v>1404</v>
      </c>
      <c r="B273" s="1070" t="s">
        <v>1325</v>
      </c>
      <c r="C273" s="1070">
        <v>3130</v>
      </c>
      <c r="D273" s="1070">
        <v>3100</v>
      </c>
      <c r="E273" s="1070">
        <v>3230</v>
      </c>
      <c r="F273" s="1088">
        <v>700</v>
      </c>
      <c r="H273" s="1095"/>
    </row>
    <row r="274" spans="1:8" s="1064" customFormat="1" ht="14.25" customHeight="1" thickBot="1">
      <c r="A274" s="1076" t="s">
        <v>1404</v>
      </c>
      <c r="B274" s="1070" t="s">
        <v>1330</v>
      </c>
      <c r="C274" s="1070">
        <v>3460</v>
      </c>
      <c r="D274" s="1070">
        <v>3430</v>
      </c>
      <c r="E274" s="1070">
        <v>3560</v>
      </c>
      <c r="F274" s="1088">
        <v>690</v>
      </c>
      <c r="H274" s="1095"/>
    </row>
    <row r="275" spans="1:8" s="1064" customFormat="1" ht="14.25" customHeight="1" thickBot="1">
      <c r="A275" s="1076" t="s">
        <v>1404</v>
      </c>
      <c r="B275" s="1070" t="s">
        <v>1335</v>
      </c>
      <c r="C275" s="1070">
        <v>4040</v>
      </c>
      <c r="D275" s="1070">
        <v>4020</v>
      </c>
      <c r="E275" s="1070">
        <v>4160</v>
      </c>
      <c r="F275" s="1088">
        <v>820</v>
      </c>
      <c r="H275" s="1095"/>
    </row>
    <row r="276" spans="1:8" s="1064" customFormat="1" ht="14.25" customHeight="1" thickBot="1">
      <c r="A276" s="1076" t="s">
        <v>1404</v>
      </c>
      <c r="B276" s="1070" t="s">
        <v>1340</v>
      </c>
      <c r="C276" s="1070">
        <v>3270</v>
      </c>
      <c r="D276" s="1070">
        <v>3240</v>
      </c>
      <c r="E276" s="1070">
        <v>3350</v>
      </c>
      <c r="F276" s="1088">
        <v>680</v>
      </c>
      <c r="H276" s="1095"/>
    </row>
    <row r="277" spans="1:8" s="1064" customFormat="1" ht="14.25" customHeight="1" thickBot="1">
      <c r="A277" s="1076" t="s">
        <v>1404</v>
      </c>
      <c r="B277" s="1070" t="s">
        <v>1345</v>
      </c>
      <c r="C277" s="1070">
        <v>2930</v>
      </c>
      <c r="D277" s="1070">
        <v>2900</v>
      </c>
      <c r="E277" s="1070">
        <v>3000</v>
      </c>
      <c r="F277" s="1088">
        <v>640</v>
      </c>
      <c r="H277" s="1095"/>
    </row>
    <row r="278" spans="1:8" s="1064" customFormat="1" ht="14.25" customHeight="1" thickBot="1">
      <c r="A278" s="1076" t="s">
        <v>1404</v>
      </c>
      <c r="B278" s="1070" t="s">
        <v>1350</v>
      </c>
      <c r="C278" s="1070">
        <v>4080</v>
      </c>
      <c r="D278" s="1070">
        <v>4030</v>
      </c>
      <c r="E278" s="1070">
        <v>4140</v>
      </c>
      <c r="F278" s="1088">
        <v>850</v>
      </c>
      <c r="H278" s="1095"/>
    </row>
    <row r="279" spans="1:8" s="1064" customFormat="1" ht="14.25" customHeight="1" thickBot="1">
      <c r="A279" s="1076" t="s">
        <v>1404</v>
      </c>
      <c r="B279" s="1070" t="s">
        <v>1354</v>
      </c>
      <c r="C279" s="1070"/>
      <c r="D279" s="1070"/>
      <c r="E279" s="1070"/>
      <c r="F279" s="1088">
        <v>760</v>
      </c>
      <c r="H279" s="1095"/>
    </row>
    <row r="280" spans="1:8" s="1064" customFormat="1" ht="14.25" customHeight="1" thickBot="1">
      <c r="A280" s="1076" t="s">
        <v>1404</v>
      </c>
      <c r="B280" s="1070" t="s">
        <v>1358</v>
      </c>
      <c r="C280" s="1070"/>
      <c r="D280" s="1070"/>
      <c r="E280" s="1070"/>
      <c r="F280" s="1088">
        <v>760</v>
      </c>
      <c r="H280" s="1095"/>
    </row>
    <row r="281" spans="1:8" s="1064" customFormat="1" ht="14.25" customHeight="1" thickBot="1">
      <c r="A281" s="1076" t="s">
        <v>1404</v>
      </c>
      <c r="B281" s="1070" t="s">
        <v>1362</v>
      </c>
      <c r="C281" s="1070"/>
      <c r="D281" s="1070"/>
      <c r="E281" s="1070"/>
      <c r="F281" s="1088">
        <v>780</v>
      </c>
      <c r="H281" s="1095"/>
    </row>
    <row r="282" spans="1:8" s="1064" customFormat="1" ht="14.25" customHeight="1" thickBot="1">
      <c r="A282" s="1076" t="s">
        <v>1404</v>
      </c>
      <c r="B282" s="1070" t="s">
        <v>1366</v>
      </c>
      <c r="C282" s="1070"/>
      <c r="D282" s="1070"/>
      <c r="E282" s="1070"/>
      <c r="F282" s="1088">
        <v>730</v>
      </c>
      <c r="H282" s="1095"/>
    </row>
    <row r="283" spans="1:8" s="1064" customFormat="1" ht="14.25" customHeight="1" thickBot="1">
      <c r="A283" s="1076" t="s">
        <v>1404</v>
      </c>
      <c r="B283" s="1070" t="s">
        <v>1370</v>
      </c>
      <c r="C283" s="1070"/>
      <c r="D283" s="1070"/>
      <c r="E283" s="1070"/>
      <c r="F283" s="1088">
        <v>770</v>
      </c>
      <c r="H283" s="1095"/>
    </row>
    <row r="284" spans="1:8" s="1064" customFormat="1" ht="14.25" customHeight="1" thickBot="1">
      <c r="A284" s="1076" t="s">
        <v>1404</v>
      </c>
      <c r="B284" s="1070" t="s">
        <v>1373</v>
      </c>
      <c r="C284" s="1070"/>
      <c r="D284" s="1070"/>
      <c r="E284" s="1070"/>
      <c r="F284" s="1088">
        <v>640</v>
      </c>
      <c r="H284" s="1095"/>
    </row>
    <row r="285" spans="1:8" s="1064" customFormat="1" ht="14.25" customHeight="1" thickBot="1">
      <c r="A285" s="1076" t="s">
        <v>1404</v>
      </c>
      <c r="B285" s="1070" t="s">
        <v>1376</v>
      </c>
      <c r="C285" s="1070"/>
      <c r="D285" s="1070"/>
      <c r="E285" s="1070"/>
      <c r="F285" s="1088">
        <v>640</v>
      </c>
      <c r="H285" s="1095"/>
    </row>
    <row r="286" spans="1:8" s="1064" customFormat="1" ht="14.25" customHeight="1" thickBot="1">
      <c r="A286" s="1076" t="s">
        <v>1404</v>
      </c>
      <c r="B286" s="1070" t="s">
        <v>1379</v>
      </c>
      <c r="C286" s="1070"/>
      <c r="D286" s="1070"/>
      <c r="E286" s="1070"/>
      <c r="F286" s="1088">
        <v>850</v>
      </c>
      <c r="H286" s="1095"/>
    </row>
    <row r="287" spans="1:8" s="1064" customFormat="1" ht="14.25" customHeight="1" thickBot="1">
      <c r="A287" s="1076" t="s">
        <v>1404</v>
      </c>
      <c r="B287" s="1070" t="s">
        <v>1382</v>
      </c>
      <c r="C287" s="1070"/>
      <c r="D287" s="1070"/>
      <c r="E287" s="1070"/>
      <c r="F287" s="1088">
        <v>760</v>
      </c>
      <c r="H287" s="1095"/>
    </row>
    <row r="288" spans="1:8" s="1064" customFormat="1" ht="14.25" customHeight="1" thickBot="1">
      <c r="A288" s="1076" t="s">
        <v>1404</v>
      </c>
      <c r="B288" s="1070" t="s">
        <v>1385</v>
      </c>
      <c r="C288" s="1070"/>
      <c r="D288" s="1070"/>
      <c r="E288" s="1070"/>
      <c r="F288" s="1088">
        <v>830</v>
      </c>
      <c r="H288" s="1095"/>
    </row>
    <row r="289" spans="1:8" s="1064" customFormat="1" ht="14.25" customHeight="1" thickBot="1">
      <c r="A289" s="1076" t="s">
        <v>1404</v>
      </c>
      <c r="B289" s="1086" t="s">
        <v>1388</v>
      </c>
      <c r="C289" s="1086"/>
      <c r="D289" s="1086"/>
      <c r="E289" s="1086"/>
      <c r="F289" s="1096">
        <v>680</v>
      </c>
      <c r="H289" s="1095"/>
    </row>
    <row r="290" spans="1:8" s="1064" customFormat="1" ht="14.25" customHeight="1" thickBot="1">
      <c r="A290" s="1076" t="s">
        <v>1408</v>
      </c>
      <c r="B290" s="1077" t="s">
        <v>1409</v>
      </c>
      <c r="C290" s="1077">
        <v>2770</v>
      </c>
      <c r="D290" s="1077">
        <v>2740</v>
      </c>
      <c r="E290" s="1077">
        <v>2720</v>
      </c>
      <c r="F290" s="1099"/>
      <c r="H290" s="1095"/>
    </row>
    <row r="291" spans="1:8" s="1064" customFormat="1" ht="14.25" customHeight="1" thickBot="1">
      <c r="A291" s="1076" t="s">
        <v>1408</v>
      </c>
      <c r="B291" s="1070" t="s">
        <v>1068</v>
      </c>
      <c r="C291" s="1070">
        <v>2670</v>
      </c>
      <c r="D291" s="1070">
        <v>2640</v>
      </c>
      <c r="E291" s="1070">
        <v>2620</v>
      </c>
      <c r="F291" s="1097"/>
      <c r="H291" s="1095"/>
    </row>
    <row r="292" spans="1:8" s="1064" customFormat="1" ht="14.25" customHeight="1" thickBot="1">
      <c r="A292" s="1076" t="s">
        <v>1408</v>
      </c>
      <c r="B292" s="1070" t="s">
        <v>1410</v>
      </c>
      <c r="C292" s="1070">
        <v>2180</v>
      </c>
      <c r="D292" s="1070">
        <v>2140</v>
      </c>
      <c r="E292" s="1070">
        <v>2120</v>
      </c>
      <c r="F292" s="1088">
        <v>490</v>
      </c>
      <c r="H292" s="1095"/>
    </row>
    <row r="293" spans="1:8" s="1064" customFormat="1" ht="14.25" customHeight="1" thickBot="1">
      <c r="A293" s="1076" t="s">
        <v>1408</v>
      </c>
      <c r="B293" s="1070" t="s">
        <v>1411</v>
      </c>
      <c r="C293" s="1070"/>
      <c r="D293" s="1070"/>
      <c r="E293" s="1070"/>
      <c r="F293" s="1088">
        <v>470</v>
      </c>
      <c r="H293" s="1095"/>
    </row>
    <row r="294" spans="1:8" s="1064" customFormat="1" ht="14.25" customHeight="1" thickBot="1">
      <c r="A294" s="1076" t="s">
        <v>1408</v>
      </c>
      <c r="B294" s="1070" t="s">
        <v>1412</v>
      </c>
      <c r="C294" s="1070">
        <v>2730</v>
      </c>
      <c r="D294" s="1070">
        <v>2700</v>
      </c>
      <c r="E294" s="1070">
        <v>2680</v>
      </c>
      <c r="F294" s="1088">
        <v>490</v>
      </c>
      <c r="H294" s="1095"/>
    </row>
    <row r="295" spans="1:8" s="1064" customFormat="1" ht="14.25" customHeight="1" thickBot="1">
      <c r="A295" s="1076" t="s">
        <v>1408</v>
      </c>
      <c r="B295" s="1070" t="s">
        <v>1109</v>
      </c>
      <c r="C295" s="1070">
        <v>2380</v>
      </c>
      <c r="D295" s="1070">
        <v>2350</v>
      </c>
      <c r="E295" s="1070">
        <v>2330</v>
      </c>
      <c r="F295" s="1088">
        <v>530</v>
      </c>
      <c r="H295" s="1095"/>
    </row>
    <row r="296" spans="1:8" s="1064" customFormat="1" ht="14.25" customHeight="1" thickBot="1">
      <c r="A296" s="1076" t="s">
        <v>1408</v>
      </c>
      <c r="B296" s="1070" t="s">
        <v>1120</v>
      </c>
      <c r="C296" s="1070">
        <v>2650</v>
      </c>
      <c r="D296" s="1070">
        <v>2620</v>
      </c>
      <c r="E296" s="1070">
        <v>2590</v>
      </c>
      <c r="F296" s="1088">
        <v>590</v>
      </c>
      <c r="H296" s="1095"/>
    </row>
    <row r="297" spans="1:8" s="1064" customFormat="1" ht="14.25" customHeight="1" thickBot="1">
      <c r="A297" s="1076" t="s">
        <v>1408</v>
      </c>
      <c r="B297" s="1070" t="s">
        <v>1131</v>
      </c>
      <c r="C297" s="1070">
        <v>2700</v>
      </c>
      <c r="D297" s="1070">
        <v>2670</v>
      </c>
      <c r="E297" s="1070">
        <v>2650</v>
      </c>
      <c r="F297" s="1088">
        <v>630</v>
      </c>
      <c r="H297" s="1095"/>
    </row>
    <row r="298" spans="1:8" s="1064" customFormat="1" ht="14.25" customHeight="1" thickBot="1">
      <c r="A298" s="1076" t="s">
        <v>1408</v>
      </c>
      <c r="B298" s="1070" t="s">
        <v>1142</v>
      </c>
      <c r="C298" s="1070">
        <v>2650</v>
      </c>
      <c r="D298" s="1070">
        <v>2620</v>
      </c>
      <c r="E298" s="1070">
        <v>2590</v>
      </c>
      <c r="F298" s="1088">
        <v>640</v>
      </c>
      <c r="H298" s="1095"/>
    </row>
    <row r="299" spans="1:8" s="1064" customFormat="1" ht="14.25" customHeight="1" thickBot="1">
      <c r="A299" s="1076" t="s">
        <v>1408</v>
      </c>
      <c r="B299" s="1070" t="s">
        <v>1154</v>
      </c>
      <c r="C299" s="1070">
        <v>2500</v>
      </c>
      <c r="D299" s="1070">
        <v>2480</v>
      </c>
      <c r="E299" s="1070">
        <v>2460</v>
      </c>
      <c r="F299" s="1097"/>
      <c r="H299" s="1095"/>
    </row>
    <row r="300" spans="1:8" s="1064" customFormat="1" ht="14.25" customHeight="1" thickBot="1">
      <c r="A300" s="1076" t="s">
        <v>1408</v>
      </c>
      <c r="B300" s="1070" t="s">
        <v>1164</v>
      </c>
      <c r="C300" s="1070">
        <v>2760</v>
      </c>
      <c r="D300" s="1070">
        <v>2730</v>
      </c>
      <c r="E300" s="1070">
        <v>2700</v>
      </c>
      <c r="F300" s="1088">
        <v>630</v>
      </c>
      <c r="H300" s="1095"/>
    </row>
    <row r="301" spans="1:8" s="1064" customFormat="1" ht="14.25" customHeight="1" thickBot="1">
      <c r="A301" s="1076" t="s">
        <v>1408</v>
      </c>
      <c r="B301" s="1070" t="s">
        <v>1174</v>
      </c>
      <c r="C301" s="1070">
        <v>2510</v>
      </c>
      <c r="D301" s="1070">
        <v>2480</v>
      </c>
      <c r="E301" s="1070">
        <v>2460</v>
      </c>
      <c r="F301" s="1097"/>
      <c r="H301" s="1095"/>
    </row>
    <row r="302" spans="1:8" s="1064" customFormat="1" ht="14.25" customHeight="1" thickBot="1">
      <c r="A302" s="1076" t="s">
        <v>1408</v>
      </c>
      <c r="B302" s="1070" t="s">
        <v>1184</v>
      </c>
      <c r="C302" s="1070">
        <v>2480</v>
      </c>
      <c r="D302" s="1070">
        <v>2450</v>
      </c>
      <c r="E302" s="1070">
        <v>2420</v>
      </c>
      <c r="F302" s="1088">
        <v>600</v>
      </c>
      <c r="H302" s="1095"/>
    </row>
    <row r="303" spans="1:8" s="1064" customFormat="1" ht="14.25" customHeight="1" thickBot="1">
      <c r="A303" s="1076" t="s">
        <v>1408</v>
      </c>
      <c r="B303" s="1070" t="s">
        <v>1194</v>
      </c>
      <c r="C303" s="1070">
        <v>2270</v>
      </c>
      <c r="D303" s="1070">
        <v>2240</v>
      </c>
      <c r="E303" s="1070">
        <v>2210</v>
      </c>
      <c r="F303" s="1088">
        <v>540</v>
      </c>
      <c r="H303" s="1095"/>
    </row>
    <row r="304" spans="1:8" s="1064" customFormat="1" ht="14.25" customHeight="1" thickBot="1">
      <c r="A304" s="1076" t="s">
        <v>1408</v>
      </c>
      <c r="B304" s="1070" t="s">
        <v>1204</v>
      </c>
      <c r="C304" s="1070">
        <v>2310</v>
      </c>
      <c r="D304" s="1070">
        <v>2290</v>
      </c>
      <c r="E304" s="1070">
        <v>2270</v>
      </c>
      <c r="F304" s="1097"/>
      <c r="H304" s="1095"/>
    </row>
    <row r="305" spans="1:8" s="1064" customFormat="1" ht="14.25" customHeight="1" thickBot="1">
      <c r="A305" s="1076" t="s">
        <v>1408</v>
      </c>
      <c r="B305" s="1070" t="s">
        <v>1214</v>
      </c>
      <c r="C305" s="1070">
        <v>2490</v>
      </c>
      <c r="D305" s="1070">
        <v>2470</v>
      </c>
      <c r="E305" s="1070">
        <v>2440</v>
      </c>
      <c r="F305" s="1088">
        <v>560</v>
      </c>
      <c r="H305" s="1095"/>
    </row>
    <row r="306" spans="1:8" s="1064" customFormat="1" ht="14.25" customHeight="1" thickBot="1">
      <c r="A306" s="1076" t="s">
        <v>1408</v>
      </c>
      <c r="B306" s="1070" t="s">
        <v>1224</v>
      </c>
      <c r="C306" s="1070">
        <v>2420</v>
      </c>
      <c r="D306" s="1070">
        <v>2400</v>
      </c>
      <c r="E306" s="1070">
        <v>2380</v>
      </c>
      <c r="F306" s="1097"/>
      <c r="H306" s="1095"/>
    </row>
    <row r="307" spans="1:8" s="1064" customFormat="1" ht="14.25" customHeight="1" thickBot="1">
      <c r="A307" s="1076" t="s">
        <v>1408</v>
      </c>
      <c r="B307" s="1070" t="s">
        <v>1234</v>
      </c>
      <c r="C307" s="1070">
        <v>2770</v>
      </c>
      <c r="D307" s="1070">
        <v>2740</v>
      </c>
      <c r="E307" s="1070">
        <v>2710</v>
      </c>
      <c r="F307" s="1088">
        <v>650</v>
      </c>
      <c r="H307" s="1095"/>
    </row>
    <row r="308" spans="1:8" s="1064" customFormat="1" ht="14.25" customHeight="1" thickBot="1">
      <c r="A308" s="1076" t="s">
        <v>1408</v>
      </c>
      <c r="B308" s="1070" t="s">
        <v>1244</v>
      </c>
      <c r="C308" s="1070">
        <v>2610</v>
      </c>
      <c r="D308" s="1070">
        <v>2580</v>
      </c>
      <c r="E308" s="1070">
        <v>2550</v>
      </c>
      <c r="F308" s="1088">
        <v>580</v>
      </c>
      <c r="H308" s="1095"/>
    </row>
    <row r="309" spans="1:8" s="1064" customFormat="1" ht="14.25" customHeight="1" thickBot="1">
      <c r="A309" s="1076" t="s">
        <v>1408</v>
      </c>
      <c r="B309" s="1070" t="s">
        <v>1254</v>
      </c>
      <c r="C309" s="1070">
        <v>2690</v>
      </c>
      <c r="D309" s="1070">
        <v>2670</v>
      </c>
      <c r="E309" s="1070">
        <v>2650</v>
      </c>
      <c r="F309" s="1097"/>
      <c r="H309" s="1095"/>
    </row>
    <row r="310" spans="1:8" s="1064" customFormat="1" ht="14.25" customHeight="1" thickBot="1">
      <c r="A310" s="1076" t="s">
        <v>1408</v>
      </c>
      <c r="B310" s="1070" t="s">
        <v>1263</v>
      </c>
      <c r="C310" s="1070">
        <v>2360</v>
      </c>
      <c r="D310" s="1070">
        <v>2330</v>
      </c>
      <c r="E310" s="1070">
        <v>2310</v>
      </c>
      <c r="F310" s="1088">
        <v>560</v>
      </c>
      <c r="H310" s="1095"/>
    </row>
    <row r="311" spans="1:8" s="1064" customFormat="1" ht="14.25" customHeight="1" thickBot="1">
      <c r="A311" s="1076" t="s">
        <v>1408</v>
      </c>
      <c r="B311" s="1070" t="s">
        <v>1272</v>
      </c>
      <c r="C311" s="1070">
        <v>1970</v>
      </c>
      <c r="D311" s="1070">
        <v>1950</v>
      </c>
      <c r="E311" s="1070">
        <v>1920</v>
      </c>
      <c r="F311" s="1088">
        <v>470</v>
      </c>
      <c r="H311" s="1095"/>
    </row>
    <row r="312" spans="1:8" s="1064" customFormat="1" ht="14.25" customHeight="1" thickBot="1">
      <c r="A312" s="1076" t="s">
        <v>1408</v>
      </c>
      <c r="B312" s="1070" t="s">
        <v>1280</v>
      </c>
      <c r="C312" s="1070">
        <v>2230</v>
      </c>
      <c r="D312" s="1070">
        <v>2200</v>
      </c>
      <c r="E312" s="1070">
        <v>2170</v>
      </c>
      <c r="F312" s="1088">
        <v>460</v>
      </c>
      <c r="H312" s="1095"/>
    </row>
    <row r="313" spans="1:8" s="1064" customFormat="1" ht="14.25" customHeight="1" thickBot="1">
      <c r="A313" s="1076" t="s">
        <v>1408</v>
      </c>
      <c r="B313" s="1070" t="s">
        <v>1287</v>
      </c>
      <c r="C313" s="1070">
        <v>2770</v>
      </c>
      <c r="D313" s="1070">
        <v>2740</v>
      </c>
      <c r="E313" s="1070">
        <v>2710</v>
      </c>
      <c r="F313" s="1088">
        <v>610</v>
      </c>
      <c r="H313" s="1095"/>
    </row>
    <row r="314" spans="1:8" s="1064" customFormat="1" ht="14.25" customHeight="1" thickBot="1">
      <c r="A314" s="1076" t="s">
        <v>1408</v>
      </c>
      <c r="B314" s="1070" t="s">
        <v>1294</v>
      </c>
      <c r="C314" s="1070"/>
      <c r="D314" s="1070"/>
      <c r="E314" s="1070"/>
      <c r="F314" s="1088">
        <v>490</v>
      </c>
      <c r="H314" s="1095"/>
    </row>
    <row r="315" spans="1:8" s="1064" customFormat="1" ht="14.25" customHeight="1" thickBot="1">
      <c r="A315" s="1076" t="s">
        <v>1408</v>
      </c>
      <c r="B315" s="1070" t="s">
        <v>1301</v>
      </c>
      <c r="C315" s="1070"/>
      <c r="D315" s="1070"/>
      <c r="E315" s="1070"/>
      <c r="F315" s="1088">
        <v>520</v>
      </c>
      <c r="H315" s="1095"/>
    </row>
    <row r="316" spans="1:8" s="1064" customFormat="1" ht="14.25" customHeight="1" thickBot="1">
      <c r="A316" s="1076" t="s">
        <v>1408</v>
      </c>
      <c r="B316" s="1086" t="s">
        <v>1308</v>
      </c>
      <c r="C316" s="1086"/>
      <c r="D316" s="1086"/>
      <c r="E316" s="1086"/>
      <c r="F316" s="1096">
        <v>460</v>
      </c>
      <c r="H316" s="1095"/>
    </row>
    <row r="317" spans="1:8" s="1064" customFormat="1" ht="14.25" customHeight="1" thickBot="1">
      <c r="A317" s="1076" t="s">
        <v>906</v>
      </c>
      <c r="B317" s="1077" t="s">
        <v>1413</v>
      </c>
      <c r="C317" s="1077">
        <v>1200</v>
      </c>
      <c r="D317" s="1077">
        <v>1180</v>
      </c>
      <c r="E317" s="1077">
        <v>1160</v>
      </c>
      <c r="F317" s="1078">
        <v>370</v>
      </c>
      <c r="H317" s="1061"/>
    </row>
    <row r="318" spans="1:8" s="1064" customFormat="1" ht="14.25" customHeight="1" thickBot="1">
      <c r="A318" s="1076" t="s">
        <v>906</v>
      </c>
      <c r="B318" s="1070" t="s">
        <v>1414</v>
      </c>
      <c r="C318" s="1070">
        <v>1090</v>
      </c>
      <c r="D318" s="1070">
        <v>1060</v>
      </c>
      <c r="E318" s="1070">
        <v>1040</v>
      </c>
      <c r="F318" s="1097"/>
      <c r="H318" s="1061"/>
    </row>
    <row r="319" spans="1:8" s="1064" customFormat="1" ht="14.25" customHeight="1" thickBot="1">
      <c r="A319" s="1076" t="s">
        <v>906</v>
      </c>
      <c r="B319" s="1070" t="s">
        <v>1415</v>
      </c>
      <c r="C319" s="1070">
        <v>1520</v>
      </c>
      <c r="D319" s="1070">
        <v>1470</v>
      </c>
      <c r="E319" s="1070">
        <v>1440</v>
      </c>
      <c r="F319" s="1088">
        <v>370</v>
      </c>
      <c r="H319" s="1061"/>
    </row>
    <row r="320" spans="1:8" s="1064" customFormat="1" ht="14.25" customHeight="1" thickBot="1">
      <c r="A320" s="1076" t="s">
        <v>906</v>
      </c>
      <c r="B320" s="1070" t="s">
        <v>1096</v>
      </c>
      <c r="C320" s="1070">
        <v>1360</v>
      </c>
      <c r="D320" s="1070">
        <v>1300</v>
      </c>
      <c r="E320" s="1070">
        <v>1270</v>
      </c>
      <c r="F320" s="1097"/>
      <c r="H320" s="1061"/>
    </row>
    <row r="321" spans="1:8" s="1064" customFormat="1" ht="14.25" customHeight="1" thickBot="1">
      <c r="A321" s="1076" t="s">
        <v>906</v>
      </c>
      <c r="B321" s="1070" t="s">
        <v>1110</v>
      </c>
      <c r="C321" s="1070">
        <v>1750</v>
      </c>
      <c r="D321" s="1070">
        <v>1690</v>
      </c>
      <c r="E321" s="1070">
        <v>1660</v>
      </c>
      <c r="F321" s="1097"/>
      <c r="H321" s="1061"/>
    </row>
    <row r="322" spans="1:8" s="1064" customFormat="1" ht="14.25" customHeight="1" thickBot="1">
      <c r="A322" s="1076" t="s">
        <v>906</v>
      </c>
      <c r="B322" s="1070" t="s">
        <v>1121</v>
      </c>
      <c r="C322" s="1070">
        <v>1650</v>
      </c>
      <c r="D322" s="1070">
        <v>1610</v>
      </c>
      <c r="E322" s="1070">
        <v>1580</v>
      </c>
      <c r="F322" s="1088">
        <v>500</v>
      </c>
      <c r="H322" s="1061"/>
    </row>
    <row r="323" spans="1:8" s="1064" customFormat="1" ht="14.25" customHeight="1" thickBot="1">
      <c r="A323" s="1076" t="s">
        <v>906</v>
      </c>
      <c r="B323" s="1070" t="s">
        <v>1132</v>
      </c>
      <c r="C323" s="1070">
        <v>1780</v>
      </c>
      <c r="D323" s="1070">
        <v>1740</v>
      </c>
      <c r="E323" s="1070">
        <v>1720</v>
      </c>
      <c r="F323" s="1097"/>
      <c r="H323" s="1061"/>
    </row>
    <row r="324" spans="1:8" s="1064" customFormat="1" ht="14.25" customHeight="1" thickBot="1">
      <c r="A324" s="1076" t="s">
        <v>906</v>
      </c>
      <c r="B324" s="1070" t="s">
        <v>1143</v>
      </c>
      <c r="C324" s="1070">
        <v>1650</v>
      </c>
      <c r="D324" s="1070">
        <v>1610</v>
      </c>
      <c r="E324" s="1070">
        <v>1580</v>
      </c>
      <c r="F324" s="1097"/>
      <c r="H324" s="1061"/>
    </row>
    <row r="325" spans="1:8" s="1064" customFormat="1" ht="14.25" customHeight="1" thickBot="1">
      <c r="A325" s="1076" t="s">
        <v>906</v>
      </c>
      <c r="B325" s="1070" t="s">
        <v>1155</v>
      </c>
      <c r="C325" s="1070">
        <v>1330</v>
      </c>
      <c r="D325" s="1070">
        <v>1270</v>
      </c>
      <c r="E325" s="1070">
        <v>1240</v>
      </c>
      <c r="F325" s="1088">
        <v>430</v>
      </c>
      <c r="H325" s="1061"/>
    </row>
    <row r="326" spans="1:8" s="1064" customFormat="1" ht="14.25" customHeight="1" thickBot="1">
      <c r="A326" s="1076" t="s">
        <v>906</v>
      </c>
      <c r="B326" s="1070" t="s">
        <v>1165</v>
      </c>
      <c r="C326" s="1070">
        <v>1470</v>
      </c>
      <c r="D326" s="1070">
        <v>1430</v>
      </c>
      <c r="E326" s="1070">
        <v>1400</v>
      </c>
      <c r="F326" s="1097"/>
      <c r="H326" s="1061"/>
    </row>
    <row r="327" spans="1:8" s="1064" customFormat="1" ht="14.25" customHeight="1" thickBot="1">
      <c r="A327" s="1076" t="s">
        <v>906</v>
      </c>
      <c r="B327" s="1070" t="s">
        <v>1175</v>
      </c>
      <c r="C327" s="1070">
        <v>1420</v>
      </c>
      <c r="D327" s="1070">
        <v>1380</v>
      </c>
      <c r="E327" s="1070">
        <v>1360</v>
      </c>
      <c r="F327" s="1088">
        <v>420</v>
      </c>
      <c r="H327" s="1061"/>
    </row>
    <row r="328" spans="1:8" s="1064" customFormat="1" ht="14.25" customHeight="1" thickBot="1">
      <c r="A328" s="1076" t="s">
        <v>906</v>
      </c>
      <c r="B328" s="1070" t="s">
        <v>1185</v>
      </c>
      <c r="C328" s="1070">
        <v>1400</v>
      </c>
      <c r="D328" s="1070">
        <v>1360</v>
      </c>
      <c r="E328" s="1070">
        <v>1330</v>
      </c>
      <c r="F328" s="1088">
        <v>460</v>
      </c>
      <c r="H328" s="1061"/>
    </row>
    <row r="329" spans="1:8" s="1064" customFormat="1" ht="14.25" customHeight="1" thickBot="1">
      <c r="A329" s="1076" t="s">
        <v>906</v>
      </c>
      <c r="B329" s="1070" t="s">
        <v>1195</v>
      </c>
      <c r="C329" s="1070">
        <v>1640</v>
      </c>
      <c r="D329" s="1070">
        <v>1610</v>
      </c>
      <c r="E329" s="1070">
        <v>1580</v>
      </c>
      <c r="F329" s="1088">
        <v>410</v>
      </c>
      <c r="H329" s="1061"/>
    </row>
    <row r="330" spans="1:8" s="1064" customFormat="1" ht="14.25" customHeight="1" thickBot="1">
      <c r="A330" s="1076" t="s">
        <v>906</v>
      </c>
      <c r="B330" s="1070" t="s">
        <v>1205</v>
      </c>
      <c r="C330" s="1070">
        <v>1260</v>
      </c>
      <c r="D330" s="1070">
        <v>1220</v>
      </c>
      <c r="E330" s="1070">
        <v>1200</v>
      </c>
      <c r="F330" s="1097"/>
      <c r="H330" s="1061"/>
    </row>
    <row r="331" spans="1:8" s="1064" customFormat="1" ht="14.25" customHeight="1" thickBot="1">
      <c r="A331" s="1076" t="s">
        <v>906</v>
      </c>
      <c r="B331" s="1070" t="s">
        <v>1215</v>
      </c>
      <c r="C331" s="1070">
        <v>1620</v>
      </c>
      <c r="D331" s="1070">
        <v>1560</v>
      </c>
      <c r="E331" s="1070">
        <v>1530</v>
      </c>
      <c r="F331" s="1088">
        <v>490</v>
      </c>
      <c r="H331" s="1061"/>
    </row>
    <row r="332" spans="1:8" s="1064" customFormat="1" ht="14.25" customHeight="1" thickBot="1">
      <c r="A332" s="1076" t="s">
        <v>906</v>
      </c>
      <c r="B332" s="1070" t="s">
        <v>1225</v>
      </c>
      <c r="C332" s="1070">
        <v>1520</v>
      </c>
      <c r="D332" s="1070">
        <v>1470</v>
      </c>
      <c r="E332" s="1070">
        <v>1440</v>
      </c>
      <c r="F332" s="1088">
        <v>440</v>
      </c>
      <c r="H332" s="1061"/>
    </row>
    <row r="333" spans="1:8" s="1064" customFormat="1" ht="14.25" customHeight="1" thickBot="1">
      <c r="A333" s="1076" t="s">
        <v>906</v>
      </c>
      <c r="B333" s="1070" t="s">
        <v>1235</v>
      </c>
      <c r="C333" s="1070">
        <v>1370</v>
      </c>
      <c r="D333" s="1070">
        <v>1320</v>
      </c>
      <c r="E333" s="1070">
        <v>1300</v>
      </c>
      <c r="F333" s="1088">
        <v>460</v>
      </c>
      <c r="H333" s="1061"/>
    </row>
    <row r="334" spans="1:8" s="1064" customFormat="1" ht="14.25" customHeight="1" thickBot="1">
      <c r="A334" s="1076" t="s">
        <v>906</v>
      </c>
      <c r="B334" s="1070" t="s">
        <v>1245</v>
      </c>
      <c r="C334" s="1070">
        <v>1410</v>
      </c>
      <c r="D334" s="1070">
        <v>1340</v>
      </c>
      <c r="E334" s="1070">
        <v>1310</v>
      </c>
      <c r="F334" s="1088">
        <v>410</v>
      </c>
      <c r="H334" s="1061"/>
    </row>
    <row r="335" spans="1:8" s="1064" customFormat="1" ht="14.25" customHeight="1" thickBot="1">
      <c r="A335" s="1076" t="s">
        <v>906</v>
      </c>
      <c r="B335" s="1070" t="s">
        <v>1255</v>
      </c>
      <c r="C335" s="1070">
        <v>1260</v>
      </c>
      <c r="D335" s="1070">
        <v>1220</v>
      </c>
      <c r="E335" s="1070">
        <v>1200</v>
      </c>
      <c r="F335" s="1097"/>
      <c r="H335" s="1061"/>
    </row>
    <row r="336" spans="1:8" s="1064" customFormat="1" ht="14.25" customHeight="1" thickBot="1">
      <c r="A336" s="1076" t="s">
        <v>906</v>
      </c>
      <c r="B336" s="1070" t="s">
        <v>1264</v>
      </c>
      <c r="C336" s="1070">
        <v>1160</v>
      </c>
      <c r="D336" s="1070">
        <v>1140</v>
      </c>
      <c r="E336" s="1070">
        <v>1120</v>
      </c>
      <c r="F336" s="1088">
        <v>430</v>
      </c>
      <c r="H336" s="1061"/>
    </row>
    <row r="337" spans="1:8" s="1064" customFormat="1" ht="14.25" customHeight="1" thickBot="1">
      <c r="A337" s="1076" t="s">
        <v>906</v>
      </c>
      <c r="B337" s="1086" t="s">
        <v>1273</v>
      </c>
      <c r="C337" s="1086"/>
      <c r="D337" s="1086"/>
      <c r="E337" s="1086"/>
      <c r="F337" s="1096">
        <v>380</v>
      </c>
      <c r="H337" s="1061"/>
    </row>
    <row r="338" spans="1:8" s="1064" customFormat="1" ht="14.25" customHeight="1" thickBot="1">
      <c r="A338" s="1076" t="s">
        <v>907</v>
      </c>
      <c r="B338" s="1077" t="s">
        <v>1416</v>
      </c>
      <c r="C338" s="1077">
        <v>880</v>
      </c>
      <c r="D338" s="1077">
        <v>850</v>
      </c>
      <c r="E338" s="1077">
        <v>830</v>
      </c>
      <c r="F338" s="1099"/>
      <c r="H338" s="1061"/>
    </row>
    <row r="339" spans="1:8" s="1064" customFormat="1" ht="14.25" customHeight="1" thickBot="1">
      <c r="A339" s="1076" t="s">
        <v>907</v>
      </c>
      <c r="B339" s="1070" t="s">
        <v>1417</v>
      </c>
      <c r="C339" s="1070">
        <v>830</v>
      </c>
      <c r="D339" s="1070">
        <v>800</v>
      </c>
      <c r="E339" s="1070">
        <v>780</v>
      </c>
      <c r="F339" s="1097"/>
      <c r="H339" s="1061"/>
    </row>
    <row r="340" spans="1:8" s="1064" customFormat="1" ht="14.25" customHeight="1" thickBot="1">
      <c r="A340" s="1076" t="s">
        <v>907</v>
      </c>
      <c r="B340" s="1070" t="s">
        <v>1418</v>
      </c>
      <c r="C340" s="1070">
        <v>980</v>
      </c>
      <c r="D340" s="1070">
        <v>950</v>
      </c>
      <c r="E340" s="1070">
        <v>920</v>
      </c>
      <c r="F340" s="1097"/>
      <c r="H340" s="1061"/>
    </row>
    <row r="341" spans="1:8" s="1064" customFormat="1" ht="14.25" customHeight="1" thickBot="1">
      <c r="A341" s="1076" t="s">
        <v>907</v>
      </c>
      <c r="B341" s="1070" t="s">
        <v>1419</v>
      </c>
      <c r="C341" s="1070">
        <v>760</v>
      </c>
      <c r="D341" s="1070">
        <v>720</v>
      </c>
      <c r="E341" s="1070">
        <v>690</v>
      </c>
      <c r="F341" s="1088">
        <v>350</v>
      </c>
      <c r="H341" s="1061"/>
    </row>
    <row r="342" spans="1:8" s="1064" customFormat="1" ht="14.25" customHeight="1" thickBot="1">
      <c r="A342" s="1076" t="s">
        <v>907</v>
      </c>
      <c r="B342" s="1070" t="s">
        <v>1111</v>
      </c>
      <c r="C342" s="1070">
        <v>910</v>
      </c>
      <c r="D342" s="1070">
        <v>870</v>
      </c>
      <c r="E342" s="1070">
        <v>850</v>
      </c>
      <c r="F342" s="1088">
        <v>370</v>
      </c>
      <c r="H342" s="1061"/>
    </row>
    <row r="343" spans="1:8" s="1064" customFormat="1" ht="14.25" customHeight="1" thickBot="1">
      <c r="A343" s="1076" t="s">
        <v>907</v>
      </c>
      <c r="B343" s="1070" t="s">
        <v>1122</v>
      </c>
      <c r="C343" s="1070">
        <v>800</v>
      </c>
      <c r="D343" s="1070">
        <v>760</v>
      </c>
      <c r="E343" s="1070">
        <v>730</v>
      </c>
      <c r="F343" s="1088">
        <v>340</v>
      </c>
      <c r="H343" s="1061"/>
    </row>
    <row r="344" spans="1:8" s="1064" customFormat="1" ht="14.25" customHeight="1" thickBot="1">
      <c r="A344" s="1076" t="s">
        <v>907</v>
      </c>
      <c r="B344" s="1086" t="s">
        <v>1133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871</v>
      </c>
      <c r="B1" s="1009"/>
      <c r="C1" s="1009"/>
      <c r="D1" s="1009"/>
      <c r="E1" s="1009"/>
      <c r="F1" s="1009"/>
      <c r="G1" s="1009"/>
      <c r="H1" s="1009"/>
      <c r="I1" s="1009"/>
      <c r="J1" s="1009"/>
      <c r="K1" s="1009"/>
      <c r="L1" s="1009"/>
      <c r="M1" s="1009"/>
      <c r="N1" s="1009"/>
    </row>
    <row r="2" spans="1:14">
      <c r="A2" s="1011" t="s">
        <v>872</v>
      </c>
      <c r="B2" s="1012" t="s">
        <v>873</v>
      </c>
      <c r="C2" s="1012" t="s">
        <v>874</v>
      </c>
      <c r="D2" s="1012" t="s">
        <v>875</v>
      </c>
      <c r="E2" s="1012" t="s">
        <v>876</v>
      </c>
      <c r="F2" s="1012" t="s">
        <v>877</v>
      </c>
      <c r="G2" s="1012" t="s">
        <v>878</v>
      </c>
      <c r="H2" s="1013" t="s">
        <v>879</v>
      </c>
      <c r="I2" s="1013" t="s">
        <v>880</v>
      </c>
      <c r="J2" s="1014" t="s">
        <v>881</v>
      </c>
      <c r="K2" s="1014" t="s">
        <v>882</v>
      </c>
      <c r="L2" s="1014" t="s">
        <v>883</v>
      </c>
      <c r="M2" s="1014" t="s">
        <v>884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893</v>
      </c>
      <c r="B103" s="1009"/>
      <c r="C103" s="1009"/>
      <c r="D103" s="1009"/>
      <c r="E103" s="1009"/>
      <c r="F103" s="1009"/>
      <c r="G103" s="1009"/>
      <c r="H103" s="1009"/>
      <c r="I103" s="1009"/>
      <c r="J103" s="1009"/>
      <c r="K103" s="1009"/>
      <c r="L103" s="1009"/>
      <c r="M103" s="1009"/>
      <c r="N103" s="1009"/>
    </row>
    <row r="104" spans="1:14" ht="14.25">
      <c r="A104" s="1011" t="s">
        <v>872</v>
      </c>
      <c r="B104" s="1012" t="s">
        <v>873</v>
      </c>
      <c r="C104" s="1012" t="s">
        <v>874</v>
      </c>
      <c r="D104" s="1012" t="s">
        <v>875</v>
      </c>
      <c r="E104" s="1012" t="s">
        <v>876</v>
      </c>
      <c r="F104" s="1012" t="s">
        <v>877</v>
      </c>
      <c r="G104" s="1012" t="s">
        <v>878</v>
      </c>
      <c r="H104" s="1013" t="s">
        <v>879</v>
      </c>
      <c r="I104" s="1013" t="s">
        <v>880</v>
      </c>
      <c r="J104" s="1014" t="s">
        <v>881</v>
      </c>
      <c r="K104" s="1014" t="s">
        <v>882</v>
      </c>
      <c r="L104" s="1014" t="s">
        <v>883</v>
      </c>
      <c r="M104" s="1014" t="s">
        <v>884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894</v>
      </c>
      <c r="B205" s="1009"/>
      <c r="C205" s="1009"/>
      <c r="D205" s="1009"/>
      <c r="E205" s="1009"/>
      <c r="F205" s="1009"/>
      <c r="G205" s="1009"/>
      <c r="H205" s="1009"/>
      <c r="I205" s="1009"/>
      <c r="J205" s="1009"/>
      <c r="K205" s="1009"/>
      <c r="L205" s="1009"/>
      <c r="M205" s="1009"/>
    </row>
    <row r="206" spans="1:13">
      <c r="A206" s="1011" t="s">
        <v>895</v>
      </c>
      <c r="B206" s="1012" t="s">
        <v>896</v>
      </c>
      <c r="C206" s="1012" t="s">
        <v>897</v>
      </c>
      <c r="D206" s="1012" t="s">
        <v>898</v>
      </c>
      <c r="E206" s="1012" t="s">
        <v>899</v>
      </c>
      <c r="F206" s="1012" t="s">
        <v>900</v>
      </c>
      <c r="G206" s="1012" t="s">
        <v>901</v>
      </c>
      <c r="H206" s="1013" t="s">
        <v>902</v>
      </c>
      <c r="I206" s="1013" t="s">
        <v>903</v>
      </c>
      <c r="J206" s="1014" t="s">
        <v>904</v>
      </c>
      <c r="K206" s="1014" t="s">
        <v>905</v>
      </c>
      <c r="L206" s="1014" t="s">
        <v>906</v>
      </c>
      <c r="M206" s="1014" t="s">
        <v>907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908</v>
      </c>
      <c r="B307" s="1009"/>
      <c r="C307" s="1009"/>
      <c r="D307" s="1009"/>
      <c r="E307" s="1009"/>
      <c r="F307" s="1009"/>
      <c r="G307" s="1009"/>
      <c r="H307" s="1009"/>
      <c r="I307" s="1009"/>
      <c r="J307" s="1009"/>
      <c r="K307" s="1009"/>
      <c r="L307" s="1009"/>
      <c r="M307" s="1009"/>
    </row>
    <row r="308" spans="1:13">
      <c r="A308" s="1011" t="s">
        <v>895</v>
      </c>
      <c r="B308" s="1012" t="s">
        <v>896</v>
      </c>
      <c r="C308" s="1012" t="s">
        <v>897</v>
      </c>
      <c r="D308" s="1012" t="s">
        <v>898</v>
      </c>
      <c r="E308" s="1012" t="s">
        <v>899</v>
      </c>
      <c r="F308" s="1012" t="s">
        <v>900</v>
      </c>
      <c r="G308" s="1012" t="s">
        <v>901</v>
      </c>
      <c r="H308" s="1013" t="s">
        <v>902</v>
      </c>
      <c r="I308" s="1013" t="s">
        <v>903</v>
      </c>
      <c r="J308" s="1014" t="s">
        <v>904</v>
      </c>
      <c r="K308" s="1014" t="s">
        <v>905</v>
      </c>
      <c r="L308" s="1014" t="s">
        <v>906</v>
      </c>
      <c r="M308" s="1014" t="s">
        <v>907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9" t="s">
        <v>2066</v>
      </c>
      <c r="B1" s="3459"/>
    </row>
    <row r="2" spans="1:6" ht="14.25" thickBot="1">
      <c r="A2" s="1835"/>
      <c r="B2" s="1835"/>
    </row>
    <row r="3" spans="1:6" ht="14.25" thickBot="1">
      <c r="A3" s="1835"/>
      <c r="B3" s="1835"/>
      <c r="C3" s="1836" t="s">
        <v>2067</v>
      </c>
      <c r="D3" s="1836" t="s">
        <v>2068</v>
      </c>
      <c r="E3" s="1836" t="s">
        <v>2069</v>
      </c>
      <c r="F3" s="1836" t="s">
        <v>2070</v>
      </c>
    </row>
    <row r="4" spans="1:6" ht="14.25" thickBot="1">
      <c r="A4" s="1837" t="s">
        <v>2071</v>
      </c>
      <c r="B4" s="1838" t="s">
        <v>2072</v>
      </c>
      <c r="C4" s="1836"/>
      <c r="D4" s="1836"/>
      <c r="E4" s="1836"/>
      <c r="F4" s="1836"/>
    </row>
    <row r="5" spans="1:6" ht="14.25" thickBot="1">
      <c r="A5" s="1839" t="s">
        <v>2073</v>
      </c>
      <c r="B5" s="1840" t="s">
        <v>2074</v>
      </c>
      <c r="C5" s="1841">
        <v>8.8999999999999996E-2</v>
      </c>
      <c r="D5" s="1841">
        <v>7.3999999999999996E-2</v>
      </c>
      <c r="E5" s="1841">
        <v>7.4999999999999997E-2</v>
      </c>
      <c r="F5" s="1842">
        <v>0.1</v>
      </c>
    </row>
    <row r="6" spans="1:6" ht="14.25" thickBot="1">
      <c r="A6" s="1839" t="s">
        <v>1085</v>
      </c>
      <c r="B6" s="1843" t="s">
        <v>2075</v>
      </c>
      <c r="C6" s="1844">
        <v>0.1</v>
      </c>
      <c r="D6" s="1844">
        <v>9.0999999999999998E-2</v>
      </c>
      <c r="E6" s="1844">
        <v>9.0999999999999998E-2</v>
      </c>
      <c r="F6" s="1845">
        <v>0.1</v>
      </c>
    </row>
    <row r="7" spans="1:6" ht="14.25" thickBot="1">
      <c r="A7" s="1839" t="s">
        <v>1085</v>
      </c>
      <c r="B7" s="1846" t="s">
        <v>1073</v>
      </c>
      <c r="C7" s="1844">
        <v>8.5999999999999993E-2</v>
      </c>
      <c r="D7" s="1844">
        <v>9.6000000000000002E-2</v>
      </c>
      <c r="E7" s="1844">
        <v>7.5999999999999998E-2</v>
      </c>
      <c r="F7" s="1845">
        <v>0.1</v>
      </c>
    </row>
    <row r="8" spans="1:6" ht="14.25" thickBot="1">
      <c r="A8" s="1839" t="s">
        <v>1085</v>
      </c>
      <c r="B8" s="1843" t="s">
        <v>1086</v>
      </c>
      <c r="C8" s="1844">
        <v>9.9000000000000005E-2</v>
      </c>
      <c r="D8" s="1844">
        <v>9.8000000000000004E-2</v>
      </c>
      <c r="E8" s="1844">
        <v>9.8000000000000004E-2</v>
      </c>
      <c r="F8" s="1845">
        <v>0.1</v>
      </c>
    </row>
    <row r="9" spans="1:6" ht="14.25" thickBot="1">
      <c r="A9" s="1847" t="s">
        <v>1085</v>
      </c>
      <c r="B9" s="1848" t="s">
        <v>1100</v>
      </c>
      <c r="C9" s="1849">
        <v>0.05</v>
      </c>
      <c r="D9" s="1850"/>
      <c r="E9" s="1850"/>
      <c r="F9" s="1851"/>
    </row>
    <row r="10" spans="1:6" ht="14.25" thickBot="1">
      <c r="A10" s="1839" t="s">
        <v>1144</v>
      </c>
      <c r="B10" s="1840" t="s">
        <v>2076</v>
      </c>
      <c r="C10" s="1841">
        <v>8.8999999999999996E-2</v>
      </c>
      <c r="D10" s="1841">
        <v>7.2999999999999995E-2</v>
      </c>
      <c r="E10" s="1841">
        <v>8.2000000000000003E-2</v>
      </c>
      <c r="F10" s="1842">
        <v>0.1</v>
      </c>
    </row>
    <row r="11" spans="1:6" ht="14.25" thickBot="1">
      <c r="A11" s="1839" t="s">
        <v>1144</v>
      </c>
      <c r="B11" s="1846" t="s">
        <v>1060</v>
      </c>
      <c r="C11" s="1844">
        <v>8.8999999999999996E-2</v>
      </c>
      <c r="D11" s="1844">
        <v>7.2999999999999995E-2</v>
      </c>
      <c r="E11" s="1844">
        <v>8.2000000000000003E-2</v>
      </c>
      <c r="F11" s="1845">
        <v>0.1</v>
      </c>
    </row>
    <row r="12" spans="1:6" ht="14.25" thickBot="1">
      <c r="A12" s="1839" t="s">
        <v>1144</v>
      </c>
      <c r="B12" s="1846" t="s">
        <v>1074</v>
      </c>
      <c r="C12" s="1844">
        <v>6.0999999999999999E-2</v>
      </c>
      <c r="D12" s="1844">
        <v>7.0999999999999994E-2</v>
      </c>
      <c r="E12" s="1844">
        <v>9.6000000000000002E-2</v>
      </c>
      <c r="F12" s="1845">
        <v>0.1</v>
      </c>
    </row>
    <row r="13" spans="1:6" ht="14.25" thickBot="1">
      <c r="A13" s="1839" t="s">
        <v>1144</v>
      </c>
      <c r="B13" s="1846" t="s">
        <v>1087</v>
      </c>
      <c r="C13" s="1844">
        <v>6.9000000000000006E-2</v>
      </c>
      <c r="D13" s="1844">
        <v>6.5000000000000002E-2</v>
      </c>
      <c r="E13" s="1844">
        <v>6.6000000000000003E-2</v>
      </c>
      <c r="F13" s="1845">
        <v>0.1</v>
      </c>
    </row>
    <row r="14" spans="1:6" ht="14.25" thickBot="1">
      <c r="A14" s="1839" t="s">
        <v>1144</v>
      </c>
      <c r="B14" s="1846" t="s">
        <v>1101</v>
      </c>
      <c r="C14" s="1844">
        <v>0.1</v>
      </c>
      <c r="D14" s="1844">
        <v>6.5000000000000002E-2</v>
      </c>
      <c r="E14" s="1844">
        <v>7.0000000000000007E-2</v>
      </c>
      <c r="F14" s="1845">
        <v>0.1</v>
      </c>
    </row>
    <row r="15" spans="1:6" ht="14.25" thickBot="1">
      <c r="A15" s="1839" t="s">
        <v>1144</v>
      </c>
      <c r="B15" s="1846" t="s">
        <v>1112</v>
      </c>
      <c r="C15" s="1844">
        <v>9.8000000000000004E-2</v>
      </c>
      <c r="D15" s="1844">
        <v>8.8999999999999996E-2</v>
      </c>
      <c r="E15" s="1844">
        <v>8.8999999999999996E-2</v>
      </c>
      <c r="F15" s="1845">
        <v>0.1</v>
      </c>
    </row>
    <row r="16" spans="1:6" ht="14.25" thickBot="1">
      <c r="A16" s="1839" t="s">
        <v>1144</v>
      </c>
      <c r="B16" s="1846" t="s">
        <v>1123</v>
      </c>
      <c r="C16" s="1844">
        <v>7.0000000000000007E-2</v>
      </c>
      <c r="D16" s="1844">
        <v>9.2999999999999999E-2</v>
      </c>
      <c r="E16" s="1844">
        <v>9.6000000000000002E-2</v>
      </c>
      <c r="F16" s="1845">
        <v>0.1</v>
      </c>
    </row>
    <row r="17" spans="1:6" ht="14.25" thickBot="1">
      <c r="A17" s="1839" t="s">
        <v>1144</v>
      </c>
      <c r="B17" s="1846" t="s">
        <v>1134</v>
      </c>
      <c r="C17" s="1844">
        <v>9.5000000000000001E-2</v>
      </c>
      <c r="D17" s="1844">
        <v>0.1</v>
      </c>
      <c r="E17" s="1844">
        <v>0.1</v>
      </c>
      <c r="F17" s="1852"/>
    </row>
    <row r="18" spans="1:6" ht="14.25" thickBot="1">
      <c r="A18" s="1839" t="s">
        <v>1144</v>
      </c>
      <c r="B18" s="1846" t="s">
        <v>1146</v>
      </c>
      <c r="C18" s="1844">
        <v>7.3999999999999996E-2</v>
      </c>
      <c r="D18" s="1844">
        <v>9.9000000000000005E-2</v>
      </c>
      <c r="E18" s="1844">
        <v>0.1</v>
      </c>
      <c r="F18" s="1852"/>
    </row>
    <row r="19" spans="1:6" ht="14.25" thickBot="1">
      <c r="A19" s="1839" t="s">
        <v>1144</v>
      </c>
      <c r="B19" s="1846" t="s">
        <v>1156</v>
      </c>
      <c r="C19" s="1844">
        <v>9.9000000000000005E-2</v>
      </c>
      <c r="D19" s="1844">
        <v>7.5999999999999998E-2</v>
      </c>
      <c r="E19" s="1844">
        <v>8.6999999999999994E-2</v>
      </c>
      <c r="F19" s="1852"/>
    </row>
    <row r="20" spans="1:6" ht="14.25" thickBot="1">
      <c r="A20" s="1839" t="s">
        <v>1144</v>
      </c>
      <c r="B20" s="1846" t="s">
        <v>1166</v>
      </c>
      <c r="C20" s="1844">
        <v>9.8000000000000004E-2</v>
      </c>
      <c r="D20" s="1844">
        <v>8.5000000000000006E-2</v>
      </c>
      <c r="E20" s="1844">
        <v>8.2000000000000003E-2</v>
      </c>
      <c r="F20" s="1852"/>
    </row>
    <row r="21" spans="1:6" ht="14.25" thickBot="1">
      <c r="A21" s="1839" t="s">
        <v>1144</v>
      </c>
      <c r="B21" s="1846" t="s">
        <v>1176</v>
      </c>
      <c r="C21" s="1844">
        <v>6.6000000000000003E-2</v>
      </c>
      <c r="D21" s="1844">
        <v>6.4000000000000001E-2</v>
      </c>
      <c r="E21" s="1844">
        <v>6.5000000000000002E-2</v>
      </c>
      <c r="F21" s="1852"/>
    </row>
    <row r="22" spans="1:6" ht="14.25" thickBot="1">
      <c r="A22" s="1839" t="s">
        <v>1144</v>
      </c>
      <c r="B22" s="1846" t="s">
        <v>2077</v>
      </c>
      <c r="C22" s="1844">
        <v>0.08</v>
      </c>
      <c r="D22" s="1844">
        <v>9.8000000000000004E-2</v>
      </c>
      <c r="E22" s="1844">
        <v>9.8000000000000004E-2</v>
      </c>
      <c r="F22" s="1852"/>
    </row>
    <row r="23" spans="1:6" ht="14.25" thickBot="1">
      <c r="A23" s="1839" t="s">
        <v>1144</v>
      </c>
      <c r="B23" s="1846" t="s">
        <v>1196</v>
      </c>
      <c r="C23" s="1844">
        <v>9.9000000000000005E-2</v>
      </c>
      <c r="D23" s="1844">
        <v>9.8000000000000004E-2</v>
      </c>
      <c r="E23" s="1844">
        <v>9.0999999999999998E-2</v>
      </c>
      <c r="F23" s="1852"/>
    </row>
    <row r="24" spans="1:6" ht="14.25" thickBot="1">
      <c r="A24" s="1839" t="s">
        <v>1144</v>
      </c>
      <c r="B24" s="1846" t="s">
        <v>1206</v>
      </c>
      <c r="C24" s="1844">
        <v>8.8999999999999996E-2</v>
      </c>
      <c r="D24" s="1844">
        <v>9.7000000000000003E-2</v>
      </c>
      <c r="E24" s="1844">
        <v>7.0000000000000007E-2</v>
      </c>
      <c r="F24" s="1852"/>
    </row>
    <row r="25" spans="1:6" ht="14.25" thickBot="1">
      <c r="A25" s="1839" t="s">
        <v>1144</v>
      </c>
      <c r="B25" s="1846" t="s">
        <v>1216</v>
      </c>
      <c r="C25" s="1844">
        <v>8.8999999999999996E-2</v>
      </c>
      <c r="D25" s="1844">
        <v>0.1</v>
      </c>
      <c r="E25" s="1844">
        <v>8.1000000000000003E-2</v>
      </c>
      <c r="F25" s="1852"/>
    </row>
    <row r="26" spans="1:6" ht="14.25" thickBot="1">
      <c r="A26" s="1839" t="s">
        <v>1144</v>
      </c>
      <c r="B26" s="1846" t="s">
        <v>1226</v>
      </c>
      <c r="C26" s="1853"/>
      <c r="D26" s="1844">
        <v>9.6000000000000002E-2</v>
      </c>
      <c r="E26" s="1844">
        <v>9.2999999999999999E-2</v>
      </c>
      <c r="F26" s="1852"/>
    </row>
    <row r="27" spans="1:6" ht="14.25" thickBot="1">
      <c r="A27" s="1839" t="s">
        <v>1144</v>
      </c>
      <c r="B27" s="1846" t="s">
        <v>1236</v>
      </c>
      <c r="C27" s="1853"/>
      <c r="D27" s="1844">
        <v>7.5999999999999998E-2</v>
      </c>
      <c r="E27" s="1844">
        <v>9.1999999999999998E-2</v>
      </c>
      <c r="F27" s="1852"/>
    </row>
    <row r="28" spans="1:6" ht="14.25" thickBot="1">
      <c r="A28" s="1847" t="s">
        <v>1144</v>
      </c>
      <c r="B28" s="1848" t="s">
        <v>1246</v>
      </c>
      <c r="C28" s="1850"/>
      <c r="D28" s="1849">
        <v>7.5999999999999998E-2</v>
      </c>
      <c r="E28" s="1849">
        <v>9.1999999999999998E-2</v>
      </c>
      <c r="F28" s="1851"/>
    </row>
    <row r="29" spans="1:6" ht="14.25" thickBot="1">
      <c r="A29" s="1839" t="s">
        <v>1315</v>
      </c>
      <c r="B29" s="1840" t="s">
        <v>2078</v>
      </c>
      <c r="C29" s="1841">
        <v>6.4000000000000001E-2</v>
      </c>
      <c r="D29" s="1841">
        <v>6.5000000000000002E-2</v>
      </c>
      <c r="E29" s="1841">
        <v>6.9000000000000006E-2</v>
      </c>
      <c r="F29" s="1842">
        <v>0.1</v>
      </c>
    </row>
    <row r="30" spans="1:6" ht="14.25" thickBot="1">
      <c r="A30" s="1839" t="s">
        <v>1315</v>
      </c>
      <c r="B30" s="1846" t="s">
        <v>1061</v>
      </c>
      <c r="C30" s="1844">
        <v>6.4000000000000001E-2</v>
      </c>
      <c r="D30" s="1844">
        <v>9.9000000000000005E-2</v>
      </c>
      <c r="E30" s="1844">
        <v>0.1</v>
      </c>
      <c r="F30" s="1845">
        <v>0.1</v>
      </c>
    </row>
    <row r="31" spans="1:6" ht="14.25" thickBot="1">
      <c r="A31" s="1839" t="s">
        <v>1315</v>
      </c>
      <c r="B31" s="1846" t="s">
        <v>1075</v>
      </c>
      <c r="C31" s="1844">
        <v>0.1</v>
      </c>
      <c r="D31" s="1844">
        <v>9.5000000000000001E-2</v>
      </c>
      <c r="E31" s="1844">
        <v>8.8999999999999996E-2</v>
      </c>
      <c r="F31" s="1845">
        <v>0.1</v>
      </c>
    </row>
    <row r="32" spans="1:6" ht="14.25" thickBot="1">
      <c r="A32" s="1839" t="s">
        <v>1315</v>
      </c>
      <c r="B32" s="1846" t="s">
        <v>1088</v>
      </c>
      <c r="C32" s="1844">
        <v>0.05</v>
      </c>
      <c r="D32" s="1844">
        <v>0.05</v>
      </c>
      <c r="E32" s="1844">
        <v>8.7999999999999995E-2</v>
      </c>
      <c r="F32" s="1845">
        <v>0.1</v>
      </c>
    </row>
    <row r="33" spans="1:6" ht="14.25" thickBot="1">
      <c r="A33" s="1839" t="s">
        <v>1315</v>
      </c>
      <c r="B33" s="1846" t="s">
        <v>1102</v>
      </c>
      <c r="C33" s="1844">
        <v>7.4999999999999997E-2</v>
      </c>
      <c r="D33" s="1844">
        <v>9.4E-2</v>
      </c>
      <c r="E33" s="1844">
        <v>9.7000000000000003E-2</v>
      </c>
      <c r="F33" s="1845">
        <v>0.1</v>
      </c>
    </row>
    <row r="34" spans="1:6" ht="14.25" thickBot="1">
      <c r="A34" s="1839" t="s">
        <v>1315</v>
      </c>
      <c r="B34" s="1846" t="s">
        <v>1113</v>
      </c>
      <c r="C34" s="1844">
        <v>9.8000000000000004E-2</v>
      </c>
      <c r="D34" s="1844">
        <v>8.5999999999999993E-2</v>
      </c>
      <c r="E34" s="1844">
        <v>9.7000000000000003E-2</v>
      </c>
      <c r="F34" s="1845">
        <v>0.1</v>
      </c>
    </row>
    <row r="35" spans="1:6" ht="14.25" thickBot="1">
      <c r="A35" s="1839" t="s">
        <v>1315</v>
      </c>
      <c r="B35" s="1846" t="s">
        <v>1124</v>
      </c>
      <c r="C35" s="1844">
        <v>5.8999999999999997E-2</v>
      </c>
      <c r="D35" s="1844">
        <v>6.5000000000000002E-2</v>
      </c>
      <c r="E35" s="1844">
        <v>7.0000000000000007E-2</v>
      </c>
      <c r="F35" s="1845">
        <v>0.1</v>
      </c>
    </row>
    <row r="36" spans="1:6" ht="14.25" thickBot="1">
      <c r="A36" s="1839" t="s">
        <v>1315</v>
      </c>
      <c r="B36" s="1846" t="s">
        <v>1135</v>
      </c>
      <c r="C36" s="1844">
        <v>6.3E-2</v>
      </c>
      <c r="D36" s="1844">
        <v>0.1</v>
      </c>
      <c r="E36" s="1844">
        <v>0.1</v>
      </c>
      <c r="F36" s="1845">
        <v>0.1</v>
      </c>
    </row>
    <row r="37" spans="1:6" ht="14.25" thickBot="1">
      <c r="A37" s="1839" t="s">
        <v>1315</v>
      </c>
      <c r="B37" s="1846" t="s">
        <v>1147</v>
      </c>
      <c r="C37" s="1844">
        <v>7.3999999999999996E-2</v>
      </c>
      <c r="D37" s="1844">
        <v>0.1</v>
      </c>
      <c r="E37" s="1844">
        <v>0.1</v>
      </c>
      <c r="F37" s="1845">
        <v>0.1</v>
      </c>
    </row>
    <row r="38" spans="1:6" ht="14.25" thickBot="1">
      <c r="A38" s="1839" t="s">
        <v>1315</v>
      </c>
      <c r="B38" s="1846" t="s">
        <v>1157</v>
      </c>
      <c r="C38" s="1844">
        <v>0.1</v>
      </c>
      <c r="D38" s="1844">
        <v>9.6000000000000002E-2</v>
      </c>
      <c r="E38" s="1844">
        <v>9.6000000000000002E-2</v>
      </c>
      <c r="F38" s="1852"/>
    </row>
    <row r="39" spans="1:6" ht="14.25" thickBot="1">
      <c r="A39" s="1839" t="s">
        <v>1315</v>
      </c>
      <c r="B39" s="1846" t="s">
        <v>1167</v>
      </c>
      <c r="C39" s="1844">
        <v>0.1</v>
      </c>
      <c r="D39" s="1844">
        <v>9.6000000000000002E-2</v>
      </c>
      <c r="E39" s="1844">
        <v>9.6000000000000002E-2</v>
      </c>
      <c r="F39" s="1852"/>
    </row>
    <row r="40" spans="1:6" ht="14.25" thickBot="1">
      <c r="A40" s="1839" t="s">
        <v>1315</v>
      </c>
      <c r="B40" s="1846" t="s">
        <v>1177</v>
      </c>
      <c r="C40" s="1844">
        <v>9.6000000000000002E-2</v>
      </c>
      <c r="D40" s="1844">
        <v>0.1</v>
      </c>
      <c r="E40" s="1844">
        <v>9.9000000000000005E-2</v>
      </c>
      <c r="F40" s="1852"/>
    </row>
    <row r="41" spans="1:6" ht="14.25" thickBot="1">
      <c r="A41" s="1839" t="s">
        <v>1315</v>
      </c>
      <c r="B41" s="1846" t="s">
        <v>1187</v>
      </c>
      <c r="C41" s="1844">
        <v>9.6000000000000002E-2</v>
      </c>
      <c r="D41" s="1844">
        <v>9.8000000000000004E-2</v>
      </c>
      <c r="E41" s="1844">
        <v>9.8000000000000004E-2</v>
      </c>
      <c r="F41" s="1852"/>
    </row>
    <row r="42" spans="1:6" ht="14.25" thickBot="1">
      <c r="A42" s="1839" t="s">
        <v>1315</v>
      </c>
      <c r="B42" s="1846" t="s">
        <v>1197</v>
      </c>
      <c r="C42" s="1844">
        <v>0.1</v>
      </c>
      <c r="D42" s="1844">
        <v>8.7999999999999995E-2</v>
      </c>
      <c r="E42" s="1844">
        <v>0.1</v>
      </c>
      <c r="F42" s="1852"/>
    </row>
    <row r="43" spans="1:6" ht="14.25" thickBot="1">
      <c r="A43" s="1839" t="s">
        <v>1315</v>
      </c>
      <c r="B43" s="1846" t="s">
        <v>1207</v>
      </c>
      <c r="C43" s="1844">
        <v>9.8000000000000004E-2</v>
      </c>
      <c r="D43" s="1844">
        <v>9.7000000000000003E-2</v>
      </c>
      <c r="E43" s="1844">
        <v>9.6000000000000002E-2</v>
      </c>
      <c r="F43" s="1852"/>
    </row>
    <row r="44" spans="1:6" ht="14.25" thickBot="1">
      <c r="A44" s="1839" t="s">
        <v>1315</v>
      </c>
      <c r="B44" s="1846" t="s">
        <v>1217</v>
      </c>
      <c r="C44" s="1844">
        <v>8.5999999999999993E-2</v>
      </c>
      <c r="D44" s="1844">
        <v>7.9000000000000001E-2</v>
      </c>
      <c r="E44" s="1844">
        <v>7.0999999999999994E-2</v>
      </c>
      <c r="F44" s="1852"/>
    </row>
    <row r="45" spans="1:6" ht="14.25" thickBot="1">
      <c r="A45" s="1839" t="s">
        <v>1315</v>
      </c>
      <c r="B45" s="1846" t="s">
        <v>1227</v>
      </c>
      <c r="C45" s="1844">
        <v>9.8000000000000004E-2</v>
      </c>
      <c r="D45" s="1844">
        <v>9.6000000000000002E-2</v>
      </c>
      <c r="E45" s="1844">
        <v>9.6000000000000002E-2</v>
      </c>
      <c r="F45" s="1852"/>
    </row>
    <row r="46" spans="1:6" ht="14.25" thickBot="1">
      <c r="A46" s="1839" t="s">
        <v>1315</v>
      </c>
      <c r="B46" s="1846" t="s">
        <v>1237</v>
      </c>
      <c r="C46" s="1844">
        <v>8.5999999999999993E-2</v>
      </c>
      <c r="D46" s="1844">
        <v>9.8000000000000004E-2</v>
      </c>
      <c r="E46" s="1844">
        <v>8.7999999999999995E-2</v>
      </c>
      <c r="F46" s="1852"/>
    </row>
    <row r="47" spans="1:6" ht="14.25" thickBot="1">
      <c r="A47" s="1839" t="s">
        <v>1315</v>
      </c>
      <c r="B47" s="1846" t="s">
        <v>1247</v>
      </c>
      <c r="C47" s="1844">
        <v>9.6000000000000002E-2</v>
      </c>
      <c r="D47" s="1853"/>
      <c r="E47" s="1844">
        <v>6.9000000000000006E-2</v>
      </c>
      <c r="F47" s="1852"/>
    </row>
    <row r="48" spans="1:6" ht="14.25" thickBot="1">
      <c r="A48" s="1847" t="s">
        <v>1315</v>
      </c>
      <c r="B48" s="1848" t="s">
        <v>1256</v>
      </c>
      <c r="C48" s="1849">
        <v>9.8000000000000004E-2</v>
      </c>
      <c r="D48" s="1850"/>
      <c r="E48" s="1849">
        <v>9.5000000000000001E-2</v>
      </c>
      <c r="F48" s="1851"/>
    </row>
    <row r="49" spans="1:6" ht="14.25" thickBot="1">
      <c r="A49" s="1839" t="s">
        <v>914</v>
      </c>
      <c r="B49" s="1840" t="s">
        <v>2079</v>
      </c>
      <c r="C49" s="1841">
        <v>9.7000000000000003E-2</v>
      </c>
      <c r="D49" s="1841">
        <v>9.5000000000000001E-2</v>
      </c>
      <c r="E49" s="1841">
        <v>9.7000000000000003E-2</v>
      </c>
      <c r="F49" s="1842">
        <v>0.1</v>
      </c>
    </row>
    <row r="50" spans="1:6" ht="14.25" thickBot="1">
      <c r="A50" s="1839" t="s">
        <v>914</v>
      </c>
      <c r="B50" s="1843" t="s">
        <v>1062</v>
      </c>
      <c r="C50" s="1844">
        <v>7.4999999999999997E-2</v>
      </c>
      <c r="D50" s="1844">
        <v>9.5000000000000001E-2</v>
      </c>
      <c r="E50" s="1844">
        <v>0.1</v>
      </c>
      <c r="F50" s="1845">
        <v>0.1</v>
      </c>
    </row>
    <row r="51" spans="1:6" ht="14.25" thickBot="1">
      <c r="A51" s="1839" t="s">
        <v>914</v>
      </c>
      <c r="B51" s="1843" t="s">
        <v>1076</v>
      </c>
      <c r="C51" s="1844">
        <v>9.8000000000000004E-2</v>
      </c>
      <c r="D51" s="1844">
        <v>8.8999999999999996E-2</v>
      </c>
      <c r="E51" s="1844">
        <v>0.1</v>
      </c>
      <c r="F51" s="1845">
        <v>0.1</v>
      </c>
    </row>
    <row r="52" spans="1:6" ht="14.25" thickBot="1">
      <c r="A52" s="1839" t="s">
        <v>914</v>
      </c>
      <c r="B52" s="1843" t="s">
        <v>1089</v>
      </c>
      <c r="C52" s="1844">
        <v>9.8000000000000004E-2</v>
      </c>
      <c r="D52" s="1844">
        <v>9.7000000000000003E-2</v>
      </c>
      <c r="E52" s="1844">
        <v>8.1000000000000003E-2</v>
      </c>
      <c r="F52" s="1845">
        <v>0.1</v>
      </c>
    </row>
    <row r="53" spans="1:6" ht="14.25" thickBot="1">
      <c r="A53" s="1839" t="s">
        <v>914</v>
      </c>
      <c r="B53" s="1843" t="s">
        <v>1103</v>
      </c>
      <c r="C53" s="1844">
        <v>9.7000000000000003E-2</v>
      </c>
      <c r="D53" s="1844">
        <v>7.5999999999999998E-2</v>
      </c>
      <c r="E53" s="1844">
        <v>7.0999999999999994E-2</v>
      </c>
      <c r="F53" s="1845">
        <v>0.1</v>
      </c>
    </row>
    <row r="54" spans="1:6" ht="14.25" thickBot="1">
      <c r="A54" s="1839" t="s">
        <v>914</v>
      </c>
      <c r="B54" s="1843" t="s">
        <v>1114</v>
      </c>
      <c r="C54" s="1844">
        <v>7.5999999999999998E-2</v>
      </c>
      <c r="D54" s="1844">
        <v>0.1</v>
      </c>
      <c r="E54" s="1844">
        <v>9.9000000000000005E-2</v>
      </c>
      <c r="F54" s="1845">
        <v>0.1</v>
      </c>
    </row>
    <row r="55" spans="1:6" ht="14.25" thickBot="1">
      <c r="A55" s="1839" t="s">
        <v>914</v>
      </c>
      <c r="B55" s="1843" t="s">
        <v>1125</v>
      </c>
      <c r="C55" s="1844">
        <v>0.1</v>
      </c>
      <c r="D55" s="1844">
        <v>0.1</v>
      </c>
      <c r="E55" s="1844">
        <v>9.6000000000000002E-2</v>
      </c>
      <c r="F55" s="1845">
        <v>0.1</v>
      </c>
    </row>
    <row r="56" spans="1:6" ht="14.25" thickBot="1">
      <c r="A56" s="1839" t="s">
        <v>914</v>
      </c>
      <c r="B56" s="1843" t="s">
        <v>1136</v>
      </c>
      <c r="C56" s="1844">
        <v>0.1</v>
      </c>
      <c r="D56" s="1844">
        <v>9.6000000000000002E-2</v>
      </c>
      <c r="E56" s="1844">
        <v>5.1999999999999998E-2</v>
      </c>
      <c r="F56" s="1845">
        <v>0.1</v>
      </c>
    </row>
    <row r="57" spans="1:6" ht="14.25" thickBot="1">
      <c r="A57" s="1839" t="s">
        <v>914</v>
      </c>
      <c r="B57" s="1843" t="s">
        <v>1148</v>
      </c>
      <c r="C57" s="1844">
        <v>9.7000000000000003E-2</v>
      </c>
      <c r="D57" s="1844">
        <v>9.6000000000000002E-2</v>
      </c>
      <c r="E57" s="1844">
        <v>9.6000000000000002E-2</v>
      </c>
      <c r="F57" s="1845">
        <v>0.1</v>
      </c>
    </row>
    <row r="58" spans="1:6" ht="14.25" thickBot="1">
      <c r="A58" s="1839" t="s">
        <v>914</v>
      </c>
      <c r="B58" s="1843" t="s">
        <v>1158</v>
      </c>
      <c r="C58" s="1844">
        <v>9.6000000000000002E-2</v>
      </c>
      <c r="D58" s="1844">
        <v>9.9000000000000005E-2</v>
      </c>
      <c r="E58" s="1844">
        <v>9.6000000000000002E-2</v>
      </c>
      <c r="F58" s="1845">
        <v>0.1</v>
      </c>
    </row>
    <row r="59" spans="1:6" ht="14.25" thickBot="1">
      <c r="A59" s="1839" t="s">
        <v>914</v>
      </c>
      <c r="B59" s="1843" t="s">
        <v>1168</v>
      </c>
      <c r="C59" s="1844">
        <v>7.1999999999999995E-2</v>
      </c>
      <c r="D59" s="1844">
        <v>9.6000000000000002E-2</v>
      </c>
      <c r="E59" s="1844">
        <v>7.0999999999999994E-2</v>
      </c>
      <c r="F59" s="1845">
        <v>0.1</v>
      </c>
    </row>
    <row r="60" spans="1:6" ht="14.25" thickBot="1">
      <c r="A60" s="1839" t="s">
        <v>914</v>
      </c>
      <c r="B60" s="1843" t="s">
        <v>1178</v>
      </c>
      <c r="C60" s="1844">
        <v>9.6000000000000002E-2</v>
      </c>
      <c r="D60" s="1844">
        <v>8.8999999999999996E-2</v>
      </c>
      <c r="E60" s="1844">
        <v>9.6000000000000002E-2</v>
      </c>
      <c r="F60" s="1845">
        <v>0.1</v>
      </c>
    </row>
    <row r="61" spans="1:6" ht="14.25" thickBot="1">
      <c r="A61" s="1839" t="s">
        <v>914</v>
      </c>
      <c r="B61" s="1843" t="s">
        <v>1188</v>
      </c>
      <c r="C61" s="1844">
        <v>8.8999999999999996E-2</v>
      </c>
      <c r="D61" s="1844">
        <v>9.8000000000000004E-2</v>
      </c>
      <c r="E61" s="1844">
        <v>8.7999999999999995E-2</v>
      </c>
      <c r="F61" s="1852"/>
    </row>
    <row r="62" spans="1:6" ht="14.25" thickBot="1">
      <c r="A62" s="1839" t="s">
        <v>914</v>
      </c>
      <c r="B62" s="1843" t="s">
        <v>1198</v>
      </c>
      <c r="C62" s="1844">
        <v>9.8000000000000004E-2</v>
      </c>
      <c r="D62" s="1844">
        <v>9.2999999999999999E-2</v>
      </c>
      <c r="E62" s="1844">
        <v>9.7000000000000003E-2</v>
      </c>
      <c r="F62" s="1852"/>
    </row>
    <row r="63" spans="1:6" ht="14.25" thickBot="1">
      <c r="A63" s="1839" t="s">
        <v>914</v>
      </c>
      <c r="B63" s="1843" t="s">
        <v>1208</v>
      </c>
      <c r="C63" s="1844">
        <v>9.6000000000000002E-2</v>
      </c>
      <c r="D63" s="1844">
        <v>9.8000000000000004E-2</v>
      </c>
      <c r="E63" s="1844">
        <v>0.09</v>
      </c>
      <c r="F63" s="1852"/>
    </row>
    <row r="64" spans="1:6" ht="14.25" thickBot="1">
      <c r="A64" s="1839" t="s">
        <v>914</v>
      </c>
      <c r="B64" s="1843" t="s">
        <v>1218</v>
      </c>
      <c r="C64" s="1844">
        <v>9.9000000000000005E-2</v>
      </c>
      <c r="D64" s="1844">
        <v>9.7000000000000003E-2</v>
      </c>
      <c r="E64" s="1844">
        <v>9.9000000000000005E-2</v>
      </c>
      <c r="F64" s="1852"/>
    </row>
    <row r="65" spans="1:6" ht="14.25" thickBot="1">
      <c r="A65" s="1839" t="s">
        <v>914</v>
      </c>
      <c r="B65" s="1843" t="s">
        <v>1228</v>
      </c>
      <c r="C65" s="1844">
        <v>9.8000000000000004E-2</v>
      </c>
      <c r="D65" s="1844">
        <v>9.6000000000000002E-2</v>
      </c>
      <c r="E65" s="1844">
        <v>9.6000000000000002E-2</v>
      </c>
      <c r="F65" s="1852"/>
    </row>
    <row r="66" spans="1:6" ht="14.25" thickBot="1">
      <c r="A66" s="1839" t="s">
        <v>914</v>
      </c>
      <c r="B66" s="1843" t="s">
        <v>1238</v>
      </c>
      <c r="C66" s="1844">
        <v>9.6000000000000002E-2</v>
      </c>
      <c r="D66" s="1844">
        <v>9.1999999999999998E-2</v>
      </c>
      <c r="E66" s="1844">
        <v>9.6000000000000002E-2</v>
      </c>
      <c r="F66" s="1852"/>
    </row>
    <row r="67" spans="1:6" ht="14.25" thickBot="1">
      <c r="A67" s="1839" t="s">
        <v>914</v>
      </c>
      <c r="B67" s="1843" t="s">
        <v>1248</v>
      </c>
      <c r="C67" s="1844">
        <v>9.4E-2</v>
      </c>
      <c r="D67" s="1844">
        <v>0.1</v>
      </c>
      <c r="E67" s="1844">
        <v>8.7999999999999995E-2</v>
      </c>
      <c r="F67" s="1852"/>
    </row>
    <row r="68" spans="1:6" ht="14.25" thickBot="1">
      <c r="A68" s="1839" t="s">
        <v>914</v>
      </c>
      <c r="B68" s="1843" t="s">
        <v>1257</v>
      </c>
      <c r="C68" s="1844">
        <v>0.1</v>
      </c>
      <c r="D68" s="1844">
        <v>8.7999999999999995E-2</v>
      </c>
      <c r="E68" s="1844">
        <v>9.7000000000000003E-2</v>
      </c>
      <c r="F68" s="1852"/>
    </row>
    <row r="69" spans="1:6" ht="14.25" thickBot="1">
      <c r="A69" s="1839" t="s">
        <v>914</v>
      </c>
      <c r="B69" s="1843" t="s">
        <v>1266</v>
      </c>
      <c r="C69" s="1844">
        <v>6.4000000000000001E-2</v>
      </c>
      <c r="D69" s="1844">
        <v>0.1</v>
      </c>
      <c r="E69" s="1844">
        <v>0.1</v>
      </c>
      <c r="F69" s="1852"/>
    </row>
    <row r="70" spans="1:6" ht="14.25" thickBot="1">
      <c r="A70" s="1839" t="s">
        <v>914</v>
      </c>
      <c r="B70" s="1843" t="s">
        <v>1274</v>
      </c>
      <c r="C70" s="1844">
        <v>9.0999999999999998E-2</v>
      </c>
      <c r="D70" s="1853"/>
      <c r="E70" s="1853"/>
      <c r="F70" s="1852"/>
    </row>
    <row r="71" spans="1:6" ht="14.25" thickBot="1">
      <c r="A71" s="1839" t="s">
        <v>914</v>
      </c>
      <c r="B71" s="1843" t="s">
        <v>1281</v>
      </c>
      <c r="C71" s="1844">
        <v>0.1</v>
      </c>
      <c r="D71" s="1853"/>
      <c r="E71" s="1853"/>
      <c r="F71" s="1852"/>
    </row>
    <row r="72" spans="1:6" ht="14.25" thickBot="1">
      <c r="A72" s="1839" t="s">
        <v>914</v>
      </c>
      <c r="B72" s="1843" t="s">
        <v>2080</v>
      </c>
      <c r="C72" s="1853"/>
      <c r="D72" s="1853"/>
      <c r="E72" s="1853"/>
      <c r="F72" s="1845">
        <v>0.05</v>
      </c>
    </row>
    <row r="73" spans="1:6" ht="14.25" thickBot="1">
      <c r="A73" s="1839" t="s">
        <v>914</v>
      </c>
      <c r="B73" s="1843" t="s">
        <v>2081</v>
      </c>
      <c r="C73" s="1853"/>
      <c r="D73" s="1853"/>
      <c r="E73" s="1853"/>
      <c r="F73" s="1845">
        <v>0.05</v>
      </c>
    </row>
    <row r="74" spans="1:6" ht="14.25" thickBot="1">
      <c r="A74" s="1839" t="s">
        <v>914</v>
      </c>
      <c r="B74" s="1843" t="s">
        <v>2082</v>
      </c>
      <c r="C74" s="1853"/>
      <c r="D74" s="1853"/>
      <c r="E74" s="1853"/>
      <c r="F74" s="1845">
        <v>0.05</v>
      </c>
    </row>
    <row r="75" spans="1:6" ht="14.25" thickBot="1">
      <c r="A75" s="1847" t="s">
        <v>914</v>
      </c>
      <c r="B75" s="1854" t="s">
        <v>2083</v>
      </c>
      <c r="C75" s="1850"/>
      <c r="D75" s="1850"/>
      <c r="E75" s="1850"/>
      <c r="F75" s="1855">
        <v>0.05</v>
      </c>
    </row>
    <row r="76" spans="1:6" ht="14.25" thickBot="1">
      <c r="A76" s="1839" t="s">
        <v>1396</v>
      </c>
      <c r="B76" s="1840" t="s">
        <v>2084</v>
      </c>
      <c r="C76" s="1841">
        <v>0.1</v>
      </c>
      <c r="D76" s="1841">
        <v>0.1</v>
      </c>
      <c r="E76" s="1841">
        <v>0.1</v>
      </c>
      <c r="F76" s="1842">
        <v>0.1</v>
      </c>
    </row>
    <row r="77" spans="1:6" ht="14.25" thickBot="1">
      <c r="A77" s="1839" t="s">
        <v>1396</v>
      </c>
      <c r="B77" s="1843" t="s">
        <v>1063</v>
      </c>
      <c r="C77" s="1844">
        <v>8.7999999999999995E-2</v>
      </c>
      <c r="D77" s="1844">
        <v>8.6999999999999994E-2</v>
      </c>
      <c r="E77" s="1844">
        <v>7.9000000000000001E-2</v>
      </c>
      <c r="F77" s="1845">
        <v>0.1</v>
      </c>
    </row>
    <row r="78" spans="1:6" ht="14.25" thickBot="1">
      <c r="A78" s="1839" t="s">
        <v>1396</v>
      </c>
      <c r="B78" s="1843" t="s">
        <v>1077</v>
      </c>
      <c r="C78" s="1844">
        <v>8.6999999999999994E-2</v>
      </c>
      <c r="D78" s="1844">
        <v>8.4000000000000005E-2</v>
      </c>
      <c r="E78" s="1844">
        <v>9.6000000000000002E-2</v>
      </c>
      <c r="F78" s="1845">
        <v>0.1</v>
      </c>
    </row>
    <row r="79" spans="1:6" ht="14.25" thickBot="1">
      <c r="A79" s="1839" t="s">
        <v>1396</v>
      </c>
      <c r="B79" s="1843" t="s">
        <v>1090</v>
      </c>
      <c r="C79" s="1844">
        <v>9.8000000000000004E-2</v>
      </c>
      <c r="D79" s="1844">
        <v>9.8000000000000004E-2</v>
      </c>
      <c r="E79" s="1844">
        <v>9.0999999999999998E-2</v>
      </c>
      <c r="F79" s="1845">
        <v>0.1</v>
      </c>
    </row>
    <row r="80" spans="1:6" ht="14.25" thickBot="1">
      <c r="A80" s="1839" t="s">
        <v>1396</v>
      </c>
      <c r="B80" s="1843" t="s">
        <v>1104</v>
      </c>
      <c r="C80" s="1844">
        <v>9.6000000000000002E-2</v>
      </c>
      <c r="D80" s="1844">
        <v>9.6000000000000002E-2</v>
      </c>
      <c r="E80" s="1844">
        <v>0.1</v>
      </c>
      <c r="F80" s="1845">
        <v>0.1</v>
      </c>
    </row>
    <row r="81" spans="1:6" ht="14.25" thickBot="1">
      <c r="A81" s="1839" t="s">
        <v>1396</v>
      </c>
      <c r="B81" s="1843" t="s">
        <v>1115</v>
      </c>
      <c r="C81" s="1844">
        <v>9.9000000000000005E-2</v>
      </c>
      <c r="D81" s="1844">
        <v>9.9000000000000005E-2</v>
      </c>
      <c r="E81" s="1844">
        <v>9.8000000000000004E-2</v>
      </c>
      <c r="F81" s="1845">
        <v>0.1</v>
      </c>
    </row>
    <row r="82" spans="1:6" ht="14.25" thickBot="1">
      <c r="A82" s="1839" t="s">
        <v>1396</v>
      </c>
      <c r="B82" s="1843" t="s">
        <v>1126</v>
      </c>
      <c r="C82" s="1844">
        <v>9.9000000000000005E-2</v>
      </c>
      <c r="D82" s="1844">
        <v>9.9000000000000005E-2</v>
      </c>
      <c r="E82" s="1844">
        <v>9.7000000000000003E-2</v>
      </c>
      <c r="F82" s="1845">
        <v>0.1</v>
      </c>
    </row>
    <row r="83" spans="1:6" ht="14.25" thickBot="1">
      <c r="A83" s="1839" t="s">
        <v>1396</v>
      </c>
      <c r="B83" s="1843" t="s">
        <v>1137</v>
      </c>
      <c r="C83" s="1844">
        <v>9.8000000000000004E-2</v>
      </c>
      <c r="D83" s="1844">
        <v>9.8000000000000004E-2</v>
      </c>
      <c r="E83" s="1844">
        <v>9.8000000000000004E-2</v>
      </c>
      <c r="F83" s="1845">
        <v>0.1</v>
      </c>
    </row>
    <row r="84" spans="1:6" ht="14.25" thickBot="1">
      <c r="A84" s="1839" t="s">
        <v>1396</v>
      </c>
      <c r="B84" s="1843" t="s">
        <v>1149</v>
      </c>
      <c r="C84" s="1844">
        <v>9.9000000000000005E-2</v>
      </c>
      <c r="D84" s="1844">
        <v>9.9000000000000005E-2</v>
      </c>
      <c r="E84" s="1844">
        <v>9.9000000000000005E-2</v>
      </c>
      <c r="F84" s="1845">
        <v>0.1</v>
      </c>
    </row>
    <row r="85" spans="1:6" ht="14.25" thickBot="1">
      <c r="A85" s="1839" t="s">
        <v>1396</v>
      </c>
      <c r="B85" s="1843" t="s">
        <v>1159</v>
      </c>
      <c r="C85" s="1844">
        <v>9.9000000000000005E-2</v>
      </c>
      <c r="D85" s="1844">
        <v>9.9000000000000005E-2</v>
      </c>
      <c r="E85" s="1844">
        <v>9.9000000000000005E-2</v>
      </c>
      <c r="F85" s="1845">
        <v>0.1</v>
      </c>
    </row>
    <row r="86" spans="1:6" ht="14.25" thickBot="1">
      <c r="A86" s="1839" t="s">
        <v>1396</v>
      </c>
      <c r="B86" s="1843" t="s">
        <v>1169</v>
      </c>
      <c r="C86" s="1844">
        <v>0.1</v>
      </c>
      <c r="D86" s="1844">
        <v>0.1</v>
      </c>
      <c r="E86" s="1844">
        <v>7.6999999999999999E-2</v>
      </c>
      <c r="F86" s="1845">
        <v>0.1</v>
      </c>
    </row>
    <row r="87" spans="1:6" ht="14.25" thickBot="1">
      <c r="A87" s="1839" t="s">
        <v>1396</v>
      </c>
      <c r="B87" s="1843" t="s">
        <v>1179</v>
      </c>
      <c r="C87" s="1844">
        <v>0.1</v>
      </c>
      <c r="D87" s="1844">
        <v>0.1</v>
      </c>
      <c r="E87" s="1844">
        <v>9.8000000000000004E-2</v>
      </c>
      <c r="F87" s="1852"/>
    </row>
    <row r="88" spans="1:6" ht="14.25" thickBot="1">
      <c r="A88" s="1839" t="s">
        <v>1396</v>
      </c>
      <c r="B88" s="1843" t="s">
        <v>1189</v>
      </c>
      <c r="C88" s="1844">
        <v>9.1999999999999998E-2</v>
      </c>
      <c r="D88" s="1844">
        <v>8.5000000000000006E-2</v>
      </c>
      <c r="E88" s="1844">
        <v>9.6000000000000002E-2</v>
      </c>
      <c r="F88" s="1852"/>
    </row>
    <row r="89" spans="1:6" ht="14.25" thickBot="1">
      <c r="A89" s="1839" t="s">
        <v>1396</v>
      </c>
      <c r="B89" s="1843" t="s">
        <v>1199</v>
      </c>
      <c r="C89" s="1844">
        <v>0.1</v>
      </c>
      <c r="D89" s="1844">
        <v>0.1</v>
      </c>
      <c r="E89" s="1844">
        <v>9.7000000000000003E-2</v>
      </c>
      <c r="F89" s="1852"/>
    </row>
    <row r="90" spans="1:6" ht="14.25" thickBot="1">
      <c r="A90" s="1839" t="s">
        <v>1396</v>
      </c>
      <c r="B90" s="1843" t="s">
        <v>1209</v>
      </c>
      <c r="C90" s="1844">
        <v>9.8000000000000004E-2</v>
      </c>
      <c r="D90" s="1844">
        <v>9.8000000000000004E-2</v>
      </c>
      <c r="E90" s="1844">
        <v>8.7999999999999995E-2</v>
      </c>
      <c r="F90" s="1852"/>
    </row>
    <row r="91" spans="1:6" ht="14.25" thickBot="1">
      <c r="A91" s="1839" t="s">
        <v>1396</v>
      </c>
      <c r="B91" s="1843" t="s">
        <v>1219</v>
      </c>
      <c r="C91" s="1844">
        <v>9.9000000000000005E-2</v>
      </c>
      <c r="D91" s="1844">
        <v>9.9000000000000005E-2</v>
      </c>
      <c r="E91" s="1844">
        <v>9.0999999999999998E-2</v>
      </c>
      <c r="F91" s="1852"/>
    </row>
    <row r="92" spans="1:6" ht="14.25" thickBot="1">
      <c r="A92" s="1839" t="s">
        <v>1396</v>
      </c>
      <c r="B92" s="1843" t="s">
        <v>1229</v>
      </c>
      <c r="C92" s="1844">
        <v>9.6000000000000002E-2</v>
      </c>
      <c r="D92" s="1844">
        <v>9.6000000000000002E-2</v>
      </c>
      <c r="E92" s="1844">
        <v>7.2999999999999995E-2</v>
      </c>
      <c r="F92" s="1852"/>
    </row>
    <row r="93" spans="1:6" ht="14.25" thickBot="1">
      <c r="A93" s="1839" t="s">
        <v>1396</v>
      </c>
      <c r="B93" s="1843" t="s">
        <v>1239</v>
      </c>
      <c r="C93" s="1844">
        <v>9.6000000000000002E-2</v>
      </c>
      <c r="D93" s="1844">
        <v>9.6000000000000002E-2</v>
      </c>
      <c r="E93" s="1844">
        <v>9.9000000000000005E-2</v>
      </c>
      <c r="F93" s="1852"/>
    </row>
    <row r="94" spans="1:6" ht="14.25" thickBot="1">
      <c r="A94" s="1839" t="s">
        <v>1396</v>
      </c>
      <c r="B94" s="1843" t="s">
        <v>1249</v>
      </c>
      <c r="C94" s="1844">
        <v>7.5999999999999998E-2</v>
      </c>
      <c r="D94" s="1844">
        <v>7.3999999999999996E-2</v>
      </c>
      <c r="E94" s="1844">
        <v>9.7000000000000003E-2</v>
      </c>
      <c r="F94" s="1852"/>
    </row>
    <row r="95" spans="1:6" ht="14.25" thickBot="1">
      <c r="A95" s="1839" t="s">
        <v>1396</v>
      </c>
      <c r="B95" s="1843" t="s">
        <v>1258</v>
      </c>
      <c r="C95" s="1844">
        <v>9.9000000000000005E-2</v>
      </c>
      <c r="D95" s="1844">
        <v>9.4E-2</v>
      </c>
      <c r="E95" s="1844">
        <v>9.6000000000000002E-2</v>
      </c>
      <c r="F95" s="1852"/>
    </row>
    <row r="96" spans="1:6" ht="14.25" thickBot="1">
      <c r="A96" s="1839" t="s">
        <v>1396</v>
      </c>
      <c r="B96" s="1843" t="s">
        <v>1267</v>
      </c>
      <c r="C96" s="1844">
        <v>9.9000000000000005E-2</v>
      </c>
      <c r="D96" s="1844">
        <v>9.9000000000000005E-2</v>
      </c>
      <c r="E96" s="1844">
        <v>9.9000000000000005E-2</v>
      </c>
      <c r="F96" s="1852"/>
    </row>
    <row r="97" spans="1:6" ht="14.25" thickBot="1">
      <c r="A97" s="1839" t="s">
        <v>1396</v>
      </c>
      <c r="B97" s="1843" t="s">
        <v>1275</v>
      </c>
      <c r="C97" s="1844">
        <v>9.8000000000000004E-2</v>
      </c>
      <c r="D97" s="1844">
        <v>9.8000000000000004E-2</v>
      </c>
      <c r="E97" s="1844">
        <v>9.7000000000000003E-2</v>
      </c>
      <c r="F97" s="1852"/>
    </row>
    <row r="98" spans="1:6" ht="14.25" thickBot="1">
      <c r="A98" s="1839" t="s">
        <v>1396</v>
      </c>
      <c r="B98" s="1843" t="s">
        <v>1282</v>
      </c>
      <c r="C98" s="1844">
        <v>0.1</v>
      </c>
      <c r="D98" s="1844">
        <v>0.1</v>
      </c>
      <c r="E98" s="1844">
        <v>9.7000000000000003E-2</v>
      </c>
      <c r="F98" s="1852"/>
    </row>
    <row r="99" spans="1:6" ht="14.25" thickBot="1">
      <c r="A99" s="1839" t="s">
        <v>1396</v>
      </c>
      <c r="B99" s="1843" t="s">
        <v>1289</v>
      </c>
      <c r="C99" s="1844">
        <v>0.1</v>
      </c>
      <c r="D99" s="1844">
        <v>0.1</v>
      </c>
      <c r="E99" s="1853"/>
      <c r="F99" s="1852"/>
    </row>
    <row r="100" spans="1:6" ht="14.25" thickBot="1">
      <c r="A100" s="1839" t="s">
        <v>1396</v>
      </c>
      <c r="B100" s="1843" t="s">
        <v>1296</v>
      </c>
      <c r="C100" s="1844">
        <v>0.09</v>
      </c>
      <c r="D100" s="1844">
        <v>8.8999999999999996E-2</v>
      </c>
      <c r="E100" s="1853"/>
      <c r="F100" s="1852"/>
    </row>
    <row r="101" spans="1:6" ht="14.25" thickBot="1">
      <c r="A101" s="1839" t="s">
        <v>1396</v>
      </c>
      <c r="B101" s="1843" t="s">
        <v>1303</v>
      </c>
      <c r="C101" s="1844">
        <v>9.8000000000000004E-2</v>
      </c>
      <c r="D101" s="1844">
        <v>9.7000000000000003E-2</v>
      </c>
      <c r="E101" s="1853"/>
      <c r="F101" s="1852"/>
    </row>
    <row r="102" spans="1:6" ht="14.25" thickBot="1">
      <c r="A102" s="1839" t="s">
        <v>1396</v>
      </c>
      <c r="B102" s="1843" t="s">
        <v>2085</v>
      </c>
      <c r="C102" s="1853"/>
      <c r="D102" s="1853"/>
      <c r="E102" s="1853"/>
      <c r="F102" s="1845">
        <v>0.05</v>
      </c>
    </row>
    <row r="103" spans="1:6" ht="24.75" thickBot="1">
      <c r="A103" s="1839" t="s">
        <v>1396</v>
      </c>
      <c r="B103" s="1843" t="s">
        <v>2086</v>
      </c>
      <c r="C103" s="1853"/>
      <c r="D103" s="1853"/>
      <c r="E103" s="1853"/>
      <c r="F103" s="1845">
        <v>0.05</v>
      </c>
    </row>
    <row r="104" spans="1:6" ht="14.25" thickBot="1">
      <c r="A104" s="1839" t="s">
        <v>1396</v>
      </c>
      <c r="B104" s="1843" t="s">
        <v>2087</v>
      </c>
      <c r="C104" s="1853"/>
      <c r="D104" s="1853"/>
      <c r="E104" s="1853"/>
      <c r="F104" s="1845">
        <v>0.05</v>
      </c>
    </row>
    <row r="105" spans="1:6" ht="14.25" thickBot="1">
      <c r="A105" s="1839" t="s">
        <v>1396</v>
      </c>
      <c r="B105" s="1843" t="s">
        <v>2088</v>
      </c>
      <c r="C105" s="1853"/>
      <c r="D105" s="1853"/>
      <c r="E105" s="1853"/>
      <c r="F105" s="1845">
        <v>0.05</v>
      </c>
    </row>
    <row r="106" spans="1:6" ht="14.25" thickBot="1">
      <c r="A106" s="1839" t="s">
        <v>1396</v>
      </c>
      <c r="B106" s="1843" t="s">
        <v>2089</v>
      </c>
      <c r="C106" s="1853"/>
      <c r="D106" s="1853"/>
      <c r="E106" s="1853"/>
      <c r="F106" s="1845">
        <v>0.05</v>
      </c>
    </row>
    <row r="107" spans="1:6" ht="24.75" thickBot="1">
      <c r="A107" s="1839" t="s">
        <v>1396</v>
      </c>
      <c r="B107" s="1843" t="s">
        <v>2090</v>
      </c>
      <c r="C107" s="1853"/>
      <c r="D107" s="1853"/>
      <c r="E107" s="1853"/>
      <c r="F107" s="1845">
        <v>0.05</v>
      </c>
    </row>
    <row r="108" spans="1:6" ht="24.75" thickBot="1">
      <c r="A108" s="1839" t="s">
        <v>1396</v>
      </c>
      <c r="B108" s="1843" t="s">
        <v>2091</v>
      </c>
      <c r="C108" s="1853"/>
      <c r="D108" s="1853"/>
      <c r="E108" s="1853"/>
      <c r="F108" s="1845">
        <v>0.05</v>
      </c>
    </row>
    <row r="109" spans="1:6" ht="24.75" thickBot="1">
      <c r="A109" s="1847" t="s">
        <v>1396</v>
      </c>
      <c r="B109" s="1854" t="s">
        <v>2092</v>
      </c>
      <c r="C109" s="1850"/>
      <c r="D109" s="1850"/>
      <c r="E109" s="1850"/>
      <c r="F109" s="1855">
        <v>0.05</v>
      </c>
    </row>
    <row r="110" spans="1:6" ht="14.25" thickBot="1">
      <c r="A110" s="1839" t="s">
        <v>1398</v>
      </c>
      <c r="B110" s="1840" t="s">
        <v>2093</v>
      </c>
      <c r="C110" s="1841">
        <v>0.129</v>
      </c>
      <c r="D110" s="1841">
        <v>0.129</v>
      </c>
      <c r="E110" s="1841">
        <v>0.126</v>
      </c>
      <c r="F110" s="1842">
        <v>0.13</v>
      </c>
    </row>
    <row r="111" spans="1:6" ht="14.25" thickBot="1">
      <c r="A111" s="1839" t="s">
        <v>1398</v>
      </c>
      <c r="B111" s="1843" t="s">
        <v>1064</v>
      </c>
      <c r="C111" s="1844">
        <v>0.11</v>
      </c>
      <c r="D111" s="1844">
        <v>0.11</v>
      </c>
      <c r="E111" s="1844">
        <v>9.9000000000000005E-2</v>
      </c>
      <c r="F111" s="1845">
        <v>0.128</v>
      </c>
    </row>
    <row r="112" spans="1:6" ht="14.25" thickBot="1">
      <c r="A112" s="1839" t="s">
        <v>1398</v>
      </c>
      <c r="B112" s="1843" t="s">
        <v>1078</v>
      </c>
      <c r="C112" s="1844">
        <v>0.125</v>
      </c>
      <c r="D112" s="1844">
        <v>0.125</v>
      </c>
      <c r="E112" s="1844">
        <v>0.12</v>
      </c>
      <c r="F112" s="1845">
        <v>0.125</v>
      </c>
    </row>
    <row r="113" spans="1:6" ht="14.25" thickBot="1">
      <c r="A113" s="1839" t="s">
        <v>1398</v>
      </c>
      <c r="B113" s="1843" t="s">
        <v>1091</v>
      </c>
      <c r="C113" s="1844">
        <v>0.13</v>
      </c>
      <c r="D113" s="1844">
        <v>0.13</v>
      </c>
      <c r="E113" s="1844">
        <v>0.13</v>
      </c>
      <c r="F113" s="1845">
        <v>0.13</v>
      </c>
    </row>
    <row r="114" spans="1:6" ht="14.25" thickBot="1">
      <c r="A114" s="1839" t="s">
        <v>1398</v>
      </c>
      <c r="B114" s="1843" t="s">
        <v>1105</v>
      </c>
      <c r="C114" s="1844">
        <v>0.123</v>
      </c>
      <c r="D114" s="1844">
        <v>0.123</v>
      </c>
      <c r="E114" s="1844">
        <v>0.12</v>
      </c>
      <c r="F114" s="1845">
        <v>0.13</v>
      </c>
    </row>
    <row r="115" spans="1:6" ht="14.25" thickBot="1">
      <c r="A115" s="1839" t="s">
        <v>1398</v>
      </c>
      <c r="B115" s="1843" t="s">
        <v>1116</v>
      </c>
      <c r="C115" s="1844">
        <v>0.125</v>
      </c>
      <c r="D115" s="1844">
        <v>0.125</v>
      </c>
      <c r="E115" s="1844">
        <v>0.11700000000000001</v>
      </c>
      <c r="F115" s="1845">
        <v>0.13</v>
      </c>
    </row>
    <row r="116" spans="1:6" ht="14.25" thickBot="1">
      <c r="A116" s="1839" t="s">
        <v>1398</v>
      </c>
      <c r="B116" s="1843" t="s">
        <v>1127</v>
      </c>
      <c r="C116" s="1844">
        <v>0.11700000000000001</v>
      </c>
      <c r="D116" s="1844">
        <v>0.11700000000000001</v>
      </c>
      <c r="E116" s="1844">
        <v>8.7999999999999995E-2</v>
      </c>
      <c r="F116" s="1845">
        <v>0.13</v>
      </c>
    </row>
    <row r="117" spans="1:6" ht="14.25" thickBot="1">
      <c r="A117" s="1839" t="s">
        <v>1398</v>
      </c>
      <c r="B117" s="1843" t="s">
        <v>1138</v>
      </c>
      <c r="C117" s="1844">
        <v>0.13</v>
      </c>
      <c r="D117" s="1844">
        <v>0.13</v>
      </c>
      <c r="E117" s="1844">
        <v>0.129</v>
      </c>
      <c r="F117" s="1845">
        <v>0.13</v>
      </c>
    </row>
    <row r="118" spans="1:6" ht="14.25" thickBot="1">
      <c r="A118" s="1839" t="s">
        <v>1398</v>
      </c>
      <c r="B118" s="1843" t="s">
        <v>1150</v>
      </c>
      <c r="C118" s="1844">
        <v>0.123</v>
      </c>
      <c r="D118" s="1844">
        <v>0.123</v>
      </c>
      <c r="E118" s="1844">
        <v>0.11600000000000001</v>
      </c>
      <c r="F118" s="1845">
        <v>0.13</v>
      </c>
    </row>
    <row r="119" spans="1:6" ht="14.25" thickBot="1">
      <c r="A119" s="1839" t="s">
        <v>1398</v>
      </c>
      <c r="B119" s="1843" t="s">
        <v>1160</v>
      </c>
      <c r="C119" s="1844">
        <v>0.127</v>
      </c>
      <c r="D119" s="1844">
        <v>0.127</v>
      </c>
      <c r="E119" s="1844">
        <v>0.124</v>
      </c>
      <c r="F119" s="1845">
        <v>0.13</v>
      </c>
    </row>
    <row r="120" spans="1:6" ht="14.25" thickBot="1">
      <c r="A120" s="1839" t="s">
        <v>1398</v>
      </c>
      <c r="B120" s="1843" t="s">
        <v>1170</v>
      </c>
      <c r="C120" s="1844">
        <v>0.125</v>
      </c>
      <c r="D120" s="1844">
        <v>0.125</v>
      </c>
      <c r="E120" s="1844">
        <v>0.122</v>
      </c>
      <c r="F120" s="1845">
        <v>0.13</v>
      </c>
    </row>
    <row r="121" spans="1:6" ht="14.25" thickBot="1">
      <c r="A121" s="1839" t="s">
        <v>1398</v>
      </c>
      <c r="B121" s="1843" t="s">
        <v>1180</v>
      </c>
      <c r="C121" s="1844">
        <v>0.13</v>
      </c>
      <c r="D121" s="1844">
        <v>0.13</v>
      </c>
      <c r="E121" s="1844">
        <v>0.13</v>
      </c>
      <c r="F121" s="1845">
        <v>0.13</v>
      </c>
    </row>
    <row r="122" spans="1:6" ht="14.25" thickBot="1">
      <c r="A122" s="1839" t="s">
        <v>1398</v>
      </c>
      <c r="B122" s="1843" t="s">
        <v>1190</v>
      </c>
      <c r="C122" s="1844">
        <v>0.13</v>
      </c>
      <c r="D122" s="1844">
        <v>0.13</v>
      </c>
      <c r="E122" s="1844">
        <v>0.125</v>
      </c>
      <c r="F122" s="1845">
        <v>0.13</v>
      </c>
    </row>
    <row r="123" spans="1:6" ht="14.25" thickBot="1">
      <c r="A123" s="1839" t="s">
        <v>1398</v>
      </c>
      <c r="B123" s="1843" t="s">
        <v>1200</v>
      </c>
      <c r="C123" s="1844">
        <v>0.129</v>
      </c>
      <c r="D123" s="1844">
        <v>0.129</v>
      </c>
      <c r="E123" s="1844">
        <v>0.123</v>
      </c>
      <c r="F123" s="1845">
        <v>0.13</v>
      </c>
    </row>
    <row r="124" spans="1:6" ht="14.25" thickBot="1">
      <c r="A124" s="1839" t="s">
        <v>1398</v>
      </c>
      <c r="B124" s="1843" t="s">
        <v>1210</v>
      </c>
      <c r="C124" s="1844">
        <v>0.10199999999999999</v>
      </c>
      <c r="D124" s="1844">
        <v>0.10100000000000001</v>
      </c>
      <c r="E124" s="1844">
        <v>0.08</v>
      </c>
      <c r="F124" s="1852"/>
    </row>
    <row r="125" spans="1:6" ht="14.25" thickBot="1">
      <c r="A125" s="1839" t="s">
        <v>1398</v>
      </c>
      <c r="B125" s="1843" t="s">
        <v>1220</v>
      </c>
      <c r="C125" s="1844">
        <v>0.13</v>
      </c>
      <c r="D125" s="1844">
        <v>0.13</v>
      </c>
      <c r="E125" s="1844">
        <v>0.129</v>
      </c>
      <c r="F125" s="1852"/>
    </row>
    <row r="126" spans="1:6" ht="14.25" thickBot="1">
      <c r="A126" s="1839" t="s">
        <v>1398</v>
      </c>
      <c r="B126" s="1843" t="s">
        <v>1230</v>
      </c>
      <c r="C126" s="1844">
        <v>0.13</v>
      </c>
      <c r="D126" s="1844">
        <v>0.13</v>
      </c>
      <c r="E126" s="1844">
        <v>0.126</v>
      </c>
      <c r="F126" s="1852"/>
    </row>
    <row r="127" spans="1:6" ht="14.25" thickBot="1">
      <c r="A127" s="1839" t="s">
        <v>1398</v>
      </c>
      <c r="B127" s="1843" t="s">
        <v>1240</v>
      </c>
      <c r="C127" s="1844">
        <v>0.125</v>
      </c>
      <c r="D127" s="1844">
        <v>0.125</v>
      </c>
      <c r="E127" s="1844">
        <v>0.121</v>
      </c>
      <c r="F127" s="1852"/>
    </row>
    <row r="128" spans="1:6" ht="14.25" thickBot="1">
      <c r="A128" s="1839" t="s">
        <v>1398</v>
      </c>
      <c r="B128" s="1843" t="s">
        <v>1250</v>
      </c>
      <c r="C128" s="1844">
        <v>0.12</v>
      </c>
      <c r="D128" s="1844">
        <v>0.12</v>
      </c>
      <c r="E128" s="1844">
        <v>0.105</v>
      </c>
      <c r="F128" s="1852"/>
    </row>
    <row r="129" spans="1:6" ht="14.25" thickBot="1">
      <c r="A129" s="1839" t="s">
        <v>1398</v>
      </c>
      <c r="B129" s="1843" t="s">
        <v>1259</v>
      </c>
      <c r="C129" s="1844">
        <v>0.13</v>
      </c>
      <c r="D129" s="1844">
        <v>0.13</v>
      </c>
      <c r="E129" s="1844">
        <v>0.126</v>
      </c>
      <c r="F129" s="1852"/>
    </row>
    <row r="130" spans="1:6" ht="14.25" thickBot="1">
      <c r="A130" s="1839" t="s">
        <v>1398</v>
      </c>
      <c r="B130" s="1843" t="s">
        <v>1268</v>
      </c>
      <c r="C130" s="1844">
        <v>0.125</v>
      </c>
      <c r="D130" s="1844">
        <v>0.125</v>
      </c>
      <c r="E130" s="1844">
        <v>0.122</v>
      </c>
      <c r="F130" s="1852"/>
    </row>
    <row r="131" spans="1:6" ht="14.25" thickBot="1">
      <c r="A131" s="1839" t="s">
        <v>1398</v>
      </c>
      <c r="B131" s="1843" t="s">
        <v>1276</v>
      </c>
      <c r="C131" s="1844">
        <v>0.127</v>
      </c>
      <c r="D131" s="1844">
        <v>0.126</v>
      </c>
      <c r="E131" s="1844">
        <v>0.123</v>
      </c>
      <c r="F131" s="1852"/>
    </row>
    <row r="132" spans="1:6" ht="14.25" thickBot="1">
      <c r="A132" s="1839" t="s">
        <v>1398</v>
      </c>
      <c r="B132" s="1843" t="s">
        <v>1283</v>
      </c>
      <c r="C132" s="1844">
        <v>9.0999999999999998E-2</v>
      </c>
      <c r="D132" s="1844">
        <v>0.121</v>
      </c>
      <c r="E132" s="1844">
        <v>9.9000000000000005E-2</v>
      </c>
      <c r="F132" s="1852"/>
    </row>
    <row r="133" spans="1:6" ht="14.25" thickBot="1">
      <c r="A133" s="1839" t="s">
        <v>1398</v>
      </c>
      <c r="B133" s="1843" t="s">
        <v>1290</v>
      </c>
      <c r="C133" s="1844">
        <v>0.13</v>
      </c>
      <c r="D133" s="1844">
        <v>0.13</v>
      </c>
      <c r="E133" s="1844">
        <v>0.129</v>
      </c>
      <c r="F133" s="1852"/>
    </row>
    <row r="134" spans="1:6" ht="14.25" thickBot="1">
      <c r="A134" s="1839" t="s">
        <v>1398</v>
      </c>
      <c r="B134" s="1843" t="s">
        <v>2094</v>
      </c>
      <c r="C134" s="1844">
        <v>6.8000000000000005E-2</v>
      </c>
      <c r="D134" s="1844">
        <v>6.5000000000000002E-2</v>
      </c>
      <c r="E134" s="1844">
        <v>6.5000000000000002E-2</v>
      </c>
      <c r="F134" s="1845">
        <v>0.13</v>
      </c>
    </row>
    <row r="135" spans="1:6" ht="14.25" thickBot="1">
      <c r="A135" s="1839" t="s">
        <v>1398</v>
      </c>
      <c r="B135" s="1843" t="s">
        <v>1304</v>
      </c>
      <c r="C135" s="1844">
        <v>0.123</v>
      </c>
      <c r="D135" s="1844">
        <v>0.123</v>
      </c>
      <c r="E135" s="1844">
        <v>0.11</v>
      </c>
      <c r="F135" s="1852"/>
    </row>
    <row r="136" spans="1:6" ht="14.25" thickBot="1">
      <c r="A136" s="1839" t="s">
        <v>1398</v>
      </c>
      <c r="B136" s="1843" t="s">
        <v>1311</v>
      </c>
      <c r="C136" s="1844">
        <v>0.13</v>
      </c>
      <c r="D136" s="1844">
        <v>0.13</v>
      </c>
      <c r="E136" s="1844">
        <v>0.125</v>
      </c>
      <c r="F136" s="1852"/>
    </row>
    <row r="137" spans="1:6" ht="14.25" thickBot="1">
      <c r="A137" s="1839" t="s">
        <v>1398</v>
      </c>
      <c r="B137" s="1843" t="s">
        <v>1318</v>
      </c>
      <c r="C137" s="1844">
        <v>0.121</v>
      </c>
      <c r="D137" s="1844">
        <v>0.122</v>
      </c>
      <c r="E137" s="1844">
        <v>0.115</v>
      </c>
      <c r="F137" s="1852"/>
    </row>
    <row r="138" spans="1:6" ht="14.25" thickBot="1">
      <c r="A138" s="1839" t="s">
        <v>1398</v>
      </c>
      <c r="B138" s="1843" t="s">
        <v>2095</v>
      </c>
      <c r="C138" s="1844">
        <v>0.105</v>
      </c>
      <c r="D138" s="1844">
        <v>0.125</v>
      </c>
      <c r="E138" s="1844">
        <v>0.112</v>
      </c>
      <c r="F138" s="1852"/>
    </row>
    <row r="139" spans="1:6" ht="14.25" thickBot="1">
      <c r="A139" s="1839" t="s">
        <v>1398</v>
      </c>
      <c r="B139" s="1843" t="s">
        <v>2096</v>
      </c>
      <c r="C139" s="1844">
        <v>0.127</v>
      </c>
      <c r="D139" s="1844">
        <v>0.127</v>
      </c>
      <c r="E139" s="1844">
        <v>0.122</v>
      </c>
      <c r="F139" s="1845">
        <v>0.13</v>
      </c>
    </row>
    <row r="140" spans="1:6" ht="14.25" thickBot="1">
      <c r="A140" s="1839" t="s">
        <v>1398</v>
      </c>
      <c r="B140" s="1843" t="s">
        <v>2097</v>
      </c>
      <c r="C140" s="1844">
        <v>0.125</v>
      </c>
      <c r="D140" s="1844">
        <v>0.125</v>
      </c>
      <c r="E140" s="1844">
        <v>0.11899999999999999</v>
      </c>
      <c r="F140" s="1845">
        <v>0.13</v>
      </c>
    </row>
    <row r="141" spans="1:6" ht="14.25" thickBot="1">
      <c r="A141" s="1839" t="s">
        <v>1398</v>
      </c>
      <c r="B141" s="1843" t="s">
        <v>1337</v>
      </c>
      <c r="C141" s="1844">
        <v>0.125</v>
      </c>
      <c r="D141" s="1844">
        <v>0.125</v>
      </c>
      <c r="E141" s="1844">
        <v>0.11700000000000001</v>
      </c>
      <c r="F141" s="1852"/>
    </row>
    <row r="142" spans="1:6" ht="14.25" thickBot="1">
      <c r="A142" s="1839" t="s">
        <v>1398</v>
      </c>
      <c r="B142" s="1843" t="s">
        <v>1342</v>
      </c>
      <c r="C142" s="1844">
        <v>0.125</v>
      </c>
      <c r="D142" s="1844">
        <v>0.125</v>
      </c>
      <c r="E142" s="1844">
        <v>0.115</v>
      </c>
      <c r="F142" s="1852"/>
    </row>
    <row r="143" spans="1:6" ht="14.25" thickBot="1">
      <c r="A143" s="1839" t="s">
        <v>1398</v>
      </c>
      <c r="B143" s="1843" t="s">
        <v>1347</v>
      </c>
      <c r="C143" s="1844">
        <v>0.121</v>
      </c>
      <c r="D143" s="1844">
        <v>0.121</v>
      </c>
      <c r="E143" s="1844">
        <v>0.108</v>
      </c>
      <c r="F143" s="1852"/>
    </row>
    <row r="144" spans="1:6" ht="14.25" thickBot="1">
      <c r="A144" s="1839" t="s">
        <v>1398</v>
      </c>
      <c r="B144" s="1856" t="s">
        <v>2098</v>
      </c>
      <c r="C144" s="1857">
        <v>0.126</v>
      </c>
      <c r="D144" s="1857">
        <v>0.126</v>
      </c>
      <c r="E144" s="1857">
        <v>0.121</v>
      </c>
      <c r="F144" s="1852"/>
    </row>
    <row r="145" spans="1:6" ht="14.25" thickBot="1">
      <c r="A145" s="1847" t="s">
        <v>1398</v>
      </c>
      <c r="B145" s="1858" t="s">
        <v>2099</v>
      </c>
      <c r="C145" s="1859"/>
      <c r="D145" s="1859"/>
      <c r="E145" s="1859"/>
      <c r="F145" s="1860">
        <v>0.05</v>
      </c>
    </row>
    <row r="146" spans="1:6" ht="24.75" thickBot="1">
      <c r="A146" s="1861" t="s">
        <v>1398</v>
      </c>
      <c r="B146" s="1846" t="s">
        <v>2100</v>
      </c>
      <c r="C146" s="1853"/>
      <c r="D146" s="1853"/>
      <c r="E146" s="1853"/>
      <c r="F146" s="1862">
        <v>0.05</v>
      </c>
    </row>
    <row r="147" spans="1:6" ht="24.75" thickBot="1">
      <c r="A147" s="1839" t="s">
        <v>1398</v>
      </c>
      <c r="B147" s="1843" t="s">
        <v>2101</v>
      </c>
      <c r="C147" s="1853"/>
      <c r="D147" s="1853"/>
      <c r="E147" s="1853"/>
      <c r="F147" s="1845">
        <v>0.05</v>
      </c>
    </row>
    <row r="148" spans="1:6" ht="24.75" thickBot="1">
      <c r="A148" s="1839" t="s">
        <v>1398</v>
      </c>
      <c r="B148" s="1843" t="s">
        <v>2102</v>
      </c>
      <c r="C148" s="1853"/>
      <c r="D148" s="1853"/>
      <c r="E148" s="1853"/>
      <c r="F148" s="1845">
        <v>0.05</v>
      </c>
    </row>
    <row r="149" spans="1:6" ht="24.75" thickBot="1">
      <c r="A149" s="1839" t="s">
        <v>1398</v>
      </c>
      <c r="B149" s="1843" t="s">
        <v>2103</v>
      </c>
      <c r="C149" s="1853"/>
      <c r="D149" s="1853"/>
      <c r="E149" s="1853"/>
      <c r="F149" s="1845">
        <v>0.05</v>
      </c>
    </row>
    <row r="150" spans="1:6" ht="24.75" thickBot="1">
      <c r="A150" s="1839" t="s">
        <v>1398</v>
      </c>
      <c r="B150" s="1843" t="s">
        <v>2104</v>
      </c>
      <c r="C150" s="1853"/>
      <c r="D150" s="1853"/>
      <c r="E150" s="1853"/>
      <c r="F150" s="1845">
        <v>0.05</v>
      </c>
    </row>
    <row r="151" spans="1:6" ht="24.75" thickBot="1">
      <c r="A151" s="1839" t="s">
        <v>1398</v>
      </c>
      <c r="B151" s="1843" t="s">
        <v>2105</v>
      </c>
      <c r="C151" s="1853"/>
      <c r="D151" s="1853"/>
      <c r="E151" s="1853"/>
      <c r="F151" s="1845">
        <v>0.05</v>
      </c>
    </row>
    <row r="152" spans="1:6" ht="24.75" thickBot="1">
      <c r="A152" s="1839" t="s">
        <v>1398</v>
      </c>
      <c r="B152" s="1843" t="s">
        <v>1380</v>
      </c>
      <c r="C152" s="1853"/>
      <c r="D152" s="1853"/>
      <c r="E152" s="1853"/>
      <c r="F152" s="1845">
        <v>0.05</v>
      </c>
    </row>
    <row r="153" spans="1:6" ht="14.25" thickBot="1">
      <c r="A153" s="1839" t="s">
        <v>1398</v>
      </c>
      <c r="B153" s="1843" t="s">
        <v>2106</v>
      </c>
      <c r="C153" s="1853"/>
      <c r="D153" s="1853"/>
      <c r="E153" s="1853"/>
      <c r="F153" s="1845">
        <v>0.05</v>
      </c>
    </row>
    <row r="154" spans="1:6" ht="14.25" thickBot="1">
      <c r="A154" s="1839" t="s">
        <v>1398</v>
      </c>
      <c r="B154" s="1843" t="s">
        <v>2107</v>
      </c>
      <c r="C154" s="1853"/>
      <c r="D154" s="1853"/>
      <c r="E154" s="1853"/>
      <c r="F154" s="1845">
        <v>0.05</v>
      </c>
    </row>
    <row r="155" spans="1:6" ht="24.75" thickBot="1">
      <c r="A155" s="1839" t="s">
        <v>1398</v>
      </c>
      <c r="B155" s="1843" t="s">
        <v>2108</v>
      </c>
      <c r="C155" s="1853"/>
      <c r="D155" s="1853"/>
      <c r="E155" s="1853"/>
      <c r="F155" s="1845">
        <v>0.05</v>
      </c>
    </row>
    <row r="156" spans="1:6" ht="24.75" thickBot="1">
      <c r="A156" s="1839" t="s">
        <v>1398</v>
      </c>
      <c r="B156" s="1843" t="s">
        <v>2109</v>
      </c>
      <c r="C156" s="1853"/>
      <c r="D156" s="1853"/>
      <c r="E156" s="1853"/>
      <c r="F156" s="1845">
        <v>0.05</v>
      </c>
    </row>
    <row r="157" spans="1:6" ht="14.25" thickBot="1">
      <c r="A157" s="1847" t="s">
        <v>1398</v>
      </c>
      <c r="B157" s="1854" t="s">
        <v>2110</v>
      </c>
      <c r="C157" s="1850"/>
      <c r="D157" s="1850"/>
      <c r="E157" s="1850"/>
      <c r="F157" s="1855">
        <v>0.05</v>
      </c>
    </row>
    <row r="158" spans="1:6" ht="14.25" thickBot="1">
      <c r="A158" s="1839" t="s">
        <v>1400</v>
      </c>
      <c r="B158" s="1840" t="s">
        <v>2111</v>
      </c>
      <c r="C158" s="1841">
        <v>0.13</v>
      </c>
      <c r="D158" s="1841">
        <v>0.13</v>
      </c>
      <c r="E158" s="1841">
        <v>0.13</v>
      </c>
      <c r="F158" s="1842">
        <v>0.13</v>
      </c>
    </row>
    <row r="159" spans="1:6" ht="14.25" thickBot="1">
      <c r="A159" s="1839" t="s">
        <v>1400</v>
      </c>
      <c r="B159" s="1843" t="s">
        <v>1065</v>
      </c>
      <c r="C159" s="1844">
        <v>0.13</v>
      </c>
      <c r="D159" s="1844">
        <v>0.13</v>
      </c>
      <c r="E159" s="1844">
        <v>0.13</v>
      </c>
      <c r="F159" s="1845">
        <v>0.13</v>
      </c>
    </row>
    <row r="160" spans="1:6" ht="14.25" thickBot="1">
      <c r="A160" s="1839" t="s">
        <v>1400</v>
      </c>
      <c r="B160" s="1843" t="s">
        <v>1079</v>
      </c>
      <c r="C160" s="1844">
        <v>0.13</v>
      </c>
      <c r="D160" s="1844">
        <v>0.13</v>
      </c>
      <c r="E160" s="1844">
        <v>0.129</v>
      </c>
      <c r="F160" s="1845">
        <v>0.13</v>
      </c>
    </row>
    <row r="161" spans="1:6" ht="14.25" thickBot="1">
      <c r="A161" s="1839" t="s">
        <v>1400</v>
      </c>
      <c r="B161" s="1843" t="s">
        <v>1092</v>
      </c>
      <c r="C161" s="1844">
        <v>0.128</v>
      </c>
      <c r="D161" s="1844">
        <v>0.128</v>
      </c>
      <c r="E161" s="1844">
        <v>0.125</v>
      </c>
      <c r="F161" s="1845">
        <v>0.13</v>
      </c>
    </row>
    <row r="162" spans="1:6" ht="14.25" thickBot="1">
      <c r="A162" s="1839" t="s">
        <v>1400</v>
      </c>
      <c r="B162" s="1843" t="s">
        <v>1106</v>
      </c>
      <c r="C162" s="1844">
        <v>0.122</v>
      </c>
      <c r="D162" s="1844">
        <v>0.122</v>
      </c>
      <c r="E162" s="1844">
        <v>0.126</v>
      </c>
      <c r="F162" s="1845">
        <v>0.122</v>
      </c>
    </row>
    <row r="163" spans="1:6" ht="14.25" thickBot="1">
      <c r="A163" s="1839" t="s">
        <v>1400</v>
      </c>
      <c r="B163" s="1843" t="s">
        <v>1117</v>
      </c>
      <c r="C163" s="1844">
        <v>0.13</v>
      </c>
      <c r="D163" s="1844">
        <v>0.13</v>
      </c>
      <c r="E163" s="1844">
        <v>0.125</v>
      </c>
      <c r="F163" s="1845">
        <v>0.13</v>
      </c>
    </row>
    <row r="164" spans="1:6" ht="14.25" thickBot="1">
      <c r="A164" s="1839" t="s">
        <v>1400</v>
      </c>
      <c r="B164" s="1843" t="s">
        <v>1128</v>
      </c>
      <c r="C164" s="1844">
        <v>0.13</v>
      </c>
      <c r="D164" s="1844">
        <v>0.13</v>
      </c>
      <c r="E164" s="1844">
        <v>0.13</v>
      </c>
      <c r="F164" s="1845">
        <v>0.13</v>
      </c>
    </row>
    <row r="165" spans="1:6" ht="14.25" thickBot="1">
      <c r="A165" s="1839" t="s">
        <v>1400</v>
      </c>
      <c r="B165" s="1843" t="s">
        <v>1139</v>
      </c>
      <c r="C165" s="1844">
        <v>0.13</v>
      </c>
      <c r="D165" s="1844">
        <v>0.13</v>
      </c>
      <c r="E165" s="1844">
        <v>0.124</v>
      </c>
      <c r="F165" s="1845">
        <v>0.13</v>
      </c>
    </row>
    <row r="166" spans="1:6" ht="14.25" thickBot="1">
      <c r="A166" s="1839" t="s">
        <v>1400</v>
      </c>
      <c r="B166" s="1843" t="s">
        <v>1151</v>
      </c>
      <c r="C166" s="1844">
        <v>0.13</v>
      </c>
      <c r="D166" s="1844">
        <v>0.13</v>
      </c>
      <c r="E166" s="1844">
        <v>0.13</v>
      </c>
      <c r="F166" s="1845">
        <v>0.13</v>
      </c>
    </row>
    <row r="167" spans="1:6" ht="14.25" thickBot="1">
      <c r="A167" s="1839" t="s">
        <v>1400</v>
      </c>
      <c r="B167" s="1843" t="s">
        <v>1161</v>
      </c>
      <c r="C167" s="1844">
        <v>0.125</v>
      </c>
      <c r="D167" s="1844">
        <v>0.125</v>
      </c>
      <c r="E167" s="1844">
        <v>0.121</v>
      </c>
      <c r="F167" s="1852"/>
    </row>
    <row r="168" spans="1:6" ht="14.25" thickBot="1">
      <c r="A168" s="1839" t="s">
        <v>1400</v>
      </c>
      <c r="B168" s="1843" t="s">
        <v>1171</v>
      </c>
      <c r="C168" s="1844">
        <v>0.13</v>
      </c>
      <c r="D168" s="1844">
        <v>0.13</v>
      </c>
      <c r="E168" s="1844">
        <v>0.126</v>
      </c>
      <c r="F168" s="1852"/>
    </row>
    <row r="169" spans="1:6" ht="14.25" thickBot="1">
      <c r="A169" s="1839" t="s">
        <v>1400</v>
      </c>
      <c r="B169" s="1843" t="s">
        <v>1181</v>
      </c>
      <c r="C169" s="1844">
        <v>0.128</v>
      </c>
      <c r="D169" s="1844">
        <v>0.129</v>
      </c>
      <c r="E169" s="1844">
        <v>0.13</v>
      </c>
      <c r="F169" s="1852"/>
    </row>
    <row r="170" spans="1:6" ht="14.25" thickBot="1">
      <c r="A170" s="1839" t="s">
        <v>1400</v>
      </c>
      <c r="B170" s="1843" t="s">
        <v>1191</v>
      </c>
      <c r="C170" s="1844">
        <v>0.14099999999999999</v>
      </c>
      <c r="D170" s="1844">
        <v>0.13</v>
      </c>
      <c r="E170" s="1844">
        <v>0.125</v>
      </c>
      <c r="F170" s="1852"/>
    </row>
    <row r="171" spans="1:6" ht="14.25" thickBot="1">
      <c r="A171" s="1839" t="s">
        <v>1400</v>
      </c>
      <c r="B171" s="1843" t="s">
        <v>2112</v>
      </c>
      <c r="C171" s="1844">
        <v>0.127</v>
      </c>
      <c r="D171" s="1844">
        <v>0.126</v>
      </c>
      <c r="E171" s="1844">
        <v>0.126</v>
      </c>
      <c r="F171" s="1845">
        <v>0.11799999999999999</v>
      </c>
    </row>
    <row r="172" spans="1:6" ht="14.25" thickBot="1">
      <c r="A172" s="1839" t="s">
        <v>1400</v>
      </c>
      <c r="B172" s="1843" t="s">
        <v>2113</v>
      </c>
      <c r="C172" s="1844">
        <v>0.13</v>
      </c>
      <c r="D172" s="1844">
        <v>0.13</v>
      </c>
      <c r="E172" s="1844">
        <v>0.13</v>
      </c>
      <c r="F172" s="1852"/>
    </row>
    <row r="173" spans="1:6" ht="14.25" thickBot="1">
      <c r="A173" s="1839" t="s">
        <v>1400</v>
      </c>
      <c r="B173" s="1843" t="s">
        <v>1221</v>
      </c>
      <c r="C173" s="1844">
        <v>0.13</v>
      </c>
      <c r="D173" s="1844">
        <v>0.13</v>
      </c>
      <c r="E173" s="1844">
        <v>0.13</v>
      </c>
      <c r="F173" s="1852"/>
    </row>
    <row r="174" spans="1:6" ht="14.25" thickBot="1">
      <c r="A174" s="1839" t="s">
        <v>1400</v>
      </c>
      <c r="B174" s="1843" t="s">
        <v>2114</v>
      </c>
      <c r="C174" s="1844">
        <v>0.13</v>
      </c>
      <c r="D174" s="1844">
        <v>0.13</v>
      </c>
      <c r="E174" s="1844">
        <v>0.13</v>
      </c>
      <c r="F174" s="1845">
        <v>0.13</v>
      </c>
    </row>
    <row r="175" spans="1:6" ht="14.25" thickBot="1">
      <c r="A175" s="1839" t="s">
        <v>1400</v>
      </c>
      <c r="B175" s="1843" t="s">
        <v>2115</v>
      </c>
      <c r="C175" s="1844">
        <v>0.13</v>
      </c>
      <c r="D175" s="1844">
        <v>0.13</v>
      </c>
      <c r="E175" s="1844">
        <v>0.13</v>
      </c>
      <c r="F175" s="1845">
        <v>0.13</v>
      </c>
    </row>
    <row r="176" spans="1:6" ht="14.25" thickBot="1">
      <c r="A176" s="1839" t="s">
        <v>1400</v>
      </c>
      <c r="B176" s="1843" t="s">
        <v>1251</v>
      </c>
      <c r="C176" s="1844">
        <v>0.13</v>
      </c>
      <c r="D176" s="1844">
        <v>0.13</v>
      </c>
      <c r="E176" s="1844">
        <v>0.13</v>
      </c>
      <c r="F176" s="1845">
        <v>0.13</v>
      </c>
    </row>
    <row r="177" spans="1:6" ht="14.25" thickBot="1">
      <c r="A177" s="1839" t="s">
        <v>1400</v>
      </c>
      <c r="B177" s="1843" t="s">
        <v>2116</v>
      </c>
      <c r="C177" s="1844">
        <v>0.13</v>
      </c>
      <c r="D177" s="1844">
        <v>0.13</v>
      </c>
      <c r="E177" s="1844">
        <v>0.13</v>
      </c>
      <c r="F177" s="1845">
        <v>0.13</v>
      </c>
    </row>
    <row r="178" spans="1:6" ht="14.25" thickBot="1">
      <c r="A178" s="1839" t="s">
        <v>1400</v>
      </c>
      <c r="B178" s="1843" t="s">
        <v>1269</v>
      </c>
      <c r="C178" s="1844">
        <v>0.13</v>
      </c>
      <c r="D178" s="1844">
        <v>0.13</v>
      </c>
      <c r="E178" s="1844">
        <v>0.13</v>
      </c>
      <c r="F178" s="1845">
        <v>0.127</v>
      </c>
    </row>
    <row r="179" spans="1:6" ht="14.25" thickBot="1">
      <c r="A179" s="1839" t="s">
        <v>1400</v>
      </c>
      <c r="B179" s="1843" t="s">
        <v>1277</v>
      </c>
      <c r="C179" s="1844">
        <v>0.13</v>
      </c>
      <c r="D179" s="1844">
        <v>0.13</v>
      </c>
      <c r="E179" s="1844">
        <v>0.13</v>
      </c>
      <c r="F179" s="1852"/>
    </row>
    <row r="180" spans="1:6" ht="14.25" thickBot="1">
      <c r="A180" s="1839" t="s">
        <v>1400</v>
      </c>
      <c r="B180" s="1843" t="s">
        <v>2117</v>
      </c>
      <c r="C180" s="1844">
        <v>0.13</v>
      </c>
      <c r="D180" s="1844">
        <v>0.13</v>
      </c>
      <c r="E180" s="1844">
        <v>0.125</v>
      </c>
      <c r="F180" s="1845">
        <v>0.13</v>
      </c>
    </row>
    <row r="181" spans="1:6" ht="14.25" thickBot="1">
      <c r="A181" s="1839" t="s">
        <v>1400</v>
      </c>
      <c r="B181" s="1843" t="s">
        <v>1291</v>
      </c>
      <c r="C181" s="1844">
        <v>0.122</v>
      </c>
      <c r="D181" s="1844">
        <v>0.123</v>
      </c>
      <c r="E181" s="1844">
        <v>0.126</v>
      </c>
      <c r="F181" s="1845">
        <v>0.121</v>
      </c>
    </row>
    <row r="182" spans="1:6" ht="14.25" thickBot="1">
      <c r="A182" s="1839" t="s">
        <v>1400</v>
      </c>
      <c r="B182" s="1843" t="s">
        <v>1298</v>
      </c>
      <c r="C182" s="1844">
        <v>0.125</v>
      </c>
      <c r="D182" s="1844">
        <v>0.125</v>
      </c>
      <c r="E182" s="1844">
        <v>0.11700000000000001</v>
      </c>
      <c r="F182" s="1845">
        <v>0.13</v>
      </c>
    </row>
    <row r="183" spans="1:6" ht="14.25" thickBot="1">
      <c r="A183" s="1839" t="s">
        <v>1400</v>
      </c>
      <c r="B183" s="1843" t="s">
        <v>1305</v>
      </c>
      <c r="C183" s="1844">
        <v>0.127</v>
      </c>
      <c r="D183" s="1844">
        <v>0.127</v>
      </c>
      <c r="E183" s="1844">
        <v>0.128</v>
      </c>
      <c r="F183" s="1852"/>
    </row>
    <row r="184" spans="1:6" ht="14.25" thickBot="1">
      <c r="A184" s="1839" t="s">
        <v>1400</v>
      </c>
      <c r="B184" s="1843" t="s">
        <v>1312</v>
      </c>
      <c r="C184" s="1844">
        <v>0.125</v>
      </c>
      <c r="D184" s="1844">
        <v>0.125</v>
      </c>
      <c r="E184" s="1844">
        <v>0.127</v>
      </c>
      <c r="F184" s="1852"/>
    </row>
    <row r="185" spans="1:6" ht="14.25" thickBot="1">
      <c r="A185" s="1839" t="s">
        <v>1400</v>
      </c>
      <c r="B185" s="1843" t="s">
        <v>2118</v>
      </c>
      <c r="C185" s="1844">
        <v>0.127</v>
      </c>
      <c r="D185" s="1844">
        <v>0.127</v>
      </c>
      <c r="E185" s="1844">
        <v>0.128</v>
      </c>
      <c r="F185" s="1845">
        <v>0.13</v>
      </c>
    </row>
    <row r="186" spans="1:6" ht="24.75" thickBot="1">
      <c r="A186" s="1839" t="s">
        <v>1400</v>
      </c>
      <c r="B186" s="1843" t="s">
        <v>2119</v>
      </c>
      <c r="C186" s="1853"/>
      <c r="D186" s="1853"/>
      <c r="E186" s="1853"/>
      <c r="F186" s="1845">
        <v>0.05</v>
      </c>
    </row>
    <row r="187" spans="1:6" ht="14.25" thickBot="1">
      <c r="A187" s="1839" t="s">
        <v>1400</v>
      </c>
      <c r="B187" s="1843" t="s">
        <v>2120</v>
      </c>
      <c r="C187" s="1853"/>
      <c r="D187" s="1853"/>
      <c r="E187" s="1853"/>
      <c r="F187" s="1845">
        <v>0.05</v>
      </c>
    </row>
    <row r="188" spans="1:6" ht="14.25" thickBot="1">
      <c r="A188" s="1839" t="s">
        <v>1400</v>
      </c>
      <c r="B188" s="1843" t="s">
        <v>2121</v>
      </c>
      <c r="C188" s="1853"/>
      <c r="D188" s="1853"/>
      <c r="E188" s="1853"/>
      <c r="F188" s="1845">
        <v>0.05</v>
      </c>
    </row>
    <row r="189" spans="1:6" ht="24.75" thickBot="1">
      <c r="A189" s="1839" t="s">
        <v>1400</v>
      </c>
      <c r="B189" s="1843" t="s">
        <v>2122</v>
      </c>
      <c r="C189" s="1853"/>
      <c r="D189" s="1853"/>
      <c r="E189" s="1853"/>
      <c r="F189" s="1845">
        <v>0.05</v>
      </c>
    </row>
    <row r="190" spans="1:6" ht="24.75" thickBot="1">
      <c r="A190" s="1839" t="s">
        <v>1400</v>
      </c>
      <c r="B190" s="1843" t="s">
        <v>2123</v>
      </c>
      <c r="C190" s="1853"/>
      <c r="D190" s="1853"/>
      <c r="E190" s="1853"/>
      <c r="F190" s="1845">
        <v>0.05</v>
      </c>
    </row>
    <row r="191" spans="1:6" ht="24.75" thickBot="1">
      <c r="A191" s="1839" t="s">
        <v>1400</v>
      </c>
      <c r="B191" s="1843" t="s">
        <v>2124</v>
      </c>
      <c r="C191" s="1853"/>
      <c r="D191" s="1853"/>
      <c r="E191" s="1853"/>
      <c r="F191" s="1845">
        <v>0.05</v>
      </c>
    </row>
    <row r="192" spans="1:6" ht="24.75" thickBot="1">
      <c r="A192" s="1839" t="s">
        <v>1400</v>
      </c>
      <c r="B192" s="1843" t="s">
        <v>2125</v>
      </c>
      <c r="C192" s="1853"/>
      <c r="D192" s="1853"/>
      <c r="E192" s="1853"/>
      <c r="F192" s="1845">
        <v>0.05</v>
      </c>
    </row>
    <row r="193" spans="1:6" ht="24.75" thickBot="1">
      <c r="A193" s="1839" t="s">
        <v>1400</v>
      </c>
      <c r="B193" s="1843" t="s">
        <v>2126</v>
      </c>
      <c r="C193" s="1853"/>
      <c r="D193" s="1853"/>
      <c r="E193" s="1853"/>
      <c r="F193" s="1845">
        <v>0.05</v>
      </c>
    </row>
    <row r="194" spans="1:6" ht="24.75" thickBot="1">
      <c r="A194" s="1839" t="s">
        <v>1400</v>
      </c>
      <c r="B194" s="1843" t="s">
        <v>2127</v>
      </c>
      <c r="C194" s="1853"/>
      <c r="D194" s="1853"/>
      <c r="E194" s="1853"/>
      <c r="F194" s="1845">
        <v>0.05</v>
      </c>
    </row>
    <row r="195" spans="1:6" ht="14.25" thickBot="1">
      <c r="A195" s="1839" t="s">
        <v>1400</v>
      </c>
      <c r="B195" s="1843" t="s">
        <v>2128</v>
      </c>
      <c r="C195" s="1853"/>
      <c r="D195" s="1853"/>
      <c r="E195" s="1853"/>
      <c r="F195" s="1845">
        <v>0.05</v>
      </c>
    </row>
    <row r="196" spans="1:6" ht="24.75" thickBot="1">
      <c r="A196" s="1839" t="s">
        <v>1400</v>
      </c>
      <c r="B196" s="1843" t="s">
        <v>2129</v>
      </c>
      <c r="C196" s="1853"/>
      <c r="D196" s="1853"/>
      <c r="E196" s="1853"/>
      <c r="F196" s="1845">
        <v>0.05</v>
      </c>
    </row>
    <row r="197" spans="1:6" ht="24.75" thickBot="1">
      <c r="A197" s="1839" t="s">
        <v>1400</v>
      </c>
      <c r="B197" s="1843" t="s">
        <v>2130</v>
      </c>
      <c r="C197" s="1853"/>
      <c r="D197" s="1853"/>
      <c r="E197" s="1853"/>
      <c r="F197" s="1845">
        <v>0.05</v>
      </c>
    </row>
    <row r="198" spans="1:6" ht="24.75" thickBot="1">
      <c r="A198" s="1839" t="s">
        <v>1400</v>
      </c>
      <c r="B198" s="1843" t="s">
        <v>2131</v>
      </c>
      <c r="C198" s="1853"/>
      <c r="D198" s="1853"/>
      <c r="E198" s="1853"/>
      <c r="F198" s="1845">
        <v>0.05</v>
      </c>
    </row>
    <row r="199" spans="1:6" ht="24.75" thickBot="1">
      <c r="A199" s="1839" t="s">
        <v>1400</v>
      </c>
      <c r="B199" s="1843" t="s">
        <v>2132</v>
      </c>
      <c r="C199" s="1853"/>
      <c r="D199" s="1853"/>
      <c r="E199" s="1853"/>
      <c r="F199" s="1845">
        <v>0.05</v>
      </c>
    </row>
    <row r="200" spans="1:6" ht="24.75" thickBot="1">
      <c r="A200" s="1839" t="s">
        <v>1400</v>
      </c>
      <c r="B200" s="1843" t="s">
        <v>2133</v>
      </c>
      <c r="C200" s="1853"/>
      <c r="D200" s="1853"/>
      <c r="E200" s="1853"/>
      <c r="F200" s="1845">
        <v>0.05</v>
      </c>
    </row>
    <row r="201" spans="1:6" ht="24.75" thickBot="1">
      <c r="A201" s="1839" t="s">
        <v>1400</v>
      </c>
      <c r="B201" s="1843" t="s">
        <v>2134</v>
      </c>
      <c r="C201" s="1853"/>
      <c r="D201" s="1853"/>
      <c r="E201" s="1853"/>
      <c r="F201" s="1845">
        <v>0.05</v>
      </c>
    </row>
    <row r="202" spans="1:6" ht="24.75" thickBot="1">
      <c r="A202" s="1839" t="s">
        <v>1400</v>
      </c>
      <c r="B202" s="1843" t="s">
        <v>2135</v>
      </c>
      <c r="C202" s="1853"/>
      <c r="D202" s="1853"/>
      <c r="E202" s="1853"/>
      <c r="F202" s="1845">
        <v>0.05</v>
      </c>
    </row>
    <row r="203" spans="1:6" ht="24.75" thickBot="1">
      <c r="A203" s="1839" t="s">
        <v>1400</v>
      </c>
      <c r="B203" s="1843" t="s">
        <v>2136</v>
      </c>
      <c r="C203" s="1853"/>
      <c r="D203" s="1853"/>
      <c r="E203" s="1853"/>
      <c r="F203" s="1845">
        <v>0.05</v>
      </c>
    </row>
    <row r="204" spans="1:6" ht="14.25" thickBot="1">
      <c r="A204" s="1839" t="s">
        <v>1400</v>
      </c>
      <c r="B204" s="1843" t="s">
        <v>2137</v>
      </c>
      <c r="C204" s="1853"/>
      <c r="D204" s="1853"/>
      <c r="E204" s="1853"/>
      <c r="F204" s="1845">
        <v>0.05</v>
      </c>
    </row>
    <row r="205" spans="1:6" ht="14.25" thickBot="1">
      <c r="A205" s="1847" t="s">
        <v>1400</v>
      </c>
      <c r="B205" s="1854" t="s">
        <v>2138</v>
      </c>
      <c r="C205" s="1850"/>
      <c r="D205" s="1850"/>
      <c r="E205" s="1850"/>
      <c r="F205" s="1855">
        <v>0.05</v>
      </c>
    </row>
    <row r="206" spans="1:6" ht="14.25" thickBot="1">
      <c r="A206" s="1839" t="s">
        <v>1402</v>
      </c>
      <c r="B206" s="1840" t="s">
        <v>2139</v>
      </c>
      <c r="C206" s="1841">
        <v>0.15</v>
      </c>
      <c r="D206" s="1841">
        <v>0.15</v>
      </c>
      <c r="E206" s="1841">
        <v>0.15</v>
      </c>
      <c r="F206" s="1842">
        <v>0.15</v>
      </c>
    </row>
    <row r="207" spans="1:6" ht="14.25" thickBot="1">
      <c r="A207" s="1839" t="s">
        <v>1402</v>
      </c>
      <c r="B207" s="1843" t="s">
        <v>1066</v>
      </c>
      <c r="C207" s="1844">
        <v>0.15</v>
      </c>
      <c r="D207" s="1844">
        <v>0.15</v>
      </c>
      <c r="E207" s="1844">
        <v>0.15</v>
      </c>
      <c r="F207" s="1845">
        <v>0.14399999999999999</v>
      </c>
    </row>
    <row r="208" spans="1:6" ht="14.25" thickBot="1">
      <c r="A208" s="1839" t="s">
        <v>1402</v>
      </c>
      <c r="B208" s="1843" t="s">
        <v>1080</v>
      </c>
      <c r="C208" s="1844">
        <v>0.15</v>
      </c>
      <c r="D208" s="1844">
        <v>0.15</v>
      </c>
      <c r="E208" s="1844">
        <v>0.15</v>
      </c>
      <c r="F208" s="1845">
        <v>0.15</v>
      </c>
    </row>
    <row r="209" spans="1:6" ht="14.25" thickBot="1">
      <c r="A209" s="1839" t="s">
        <v>1402</v>
      </c>
      <c r="B209" s="1843" t="s">
        <v>1093</v>
      </c>
      <c r="C209" s="1844">
        <v>0.13700000000000001</v>
      </c>
      <c r="D209" s="1844">
        <v>0.13700000000000001</v>
      </c>
      <c r="E209" s="1844">
        <v>0.14000000000000001</v>
      </c>
      <c r="F209" s="1845">
        <v>0.11700000000000001</v>
      </c>
    </row>
    <row r="210" spans="1:6" ht="14.25" thickBot="1">
      <c r="A210" s="1839" t="s">
        <v>1402</v>
      </c>
      <c r="B210" s="1843" t="s">
        <v>2140</v>
      </c>
      <c r="C210" s="1844">
        <v>0.15</v>
      </c>
      <c r="D210" s="1844">
        <v>0.15</v>
      </c>
      <c r="E210" s="1844">
        <v>0.15</v>
      </c>
      <c r="F210" s="1845">
        <v>0.13800000000000001</v>
      </c>
    </row>
    <row r="211" spans="1:6" ht="14.25" thickBot="1">
      <c r="A211" s="1839" t="s">
        <v>1402</v>
      </c>
      <c r="B211" s="1843" t="s">
        <v>2141</v>
      </c>
      <c r="C211" s="1844">
        <v>0.13700000000000001</v>
      </c>
      <c r="D211" s="1844">
        <v>0.13500000000000001</v>
      </c>
      <c r="E211" s="1844">
        <v>0.13600000000000001</v>
      </c>
      <c r="F211" s="1845">
        <v>0.1</v>
      </c>
    </row>
    <row r="212" spans="1:6" ht="14.25" thickBot="1">
      <c r="A212" s="1839" t="s">
        <v>1402</v>
      </c>
      <c r="B212" s="1843" t="s">
        <v>2142</v>
      </c>
      <c r="C212" s="1844">
        <v>0.15</v>
      </c>
      <c r="D212" s="1844">
        <v>0.15</v>
      </c>
      <c r="E212" s="1844">
        <v>0.14799999999999999</v>
      </c>
      <c r="F212" s="1845">
        <v>0.13600000000000001</v>
      </c>
    </row>
    <row r="213" spans="1:6" ht="14.25" thickBot="1">
      <c r="A213" s="1839" t="s">
        <v>1402</v>
      </c>
      <c r="B213" s="1843" t="s">
        <v>1140</v>
      </c>
      <c r="C213" s="1844">
        <v>0.15</v>
      </c>
      <c r="D213" s="1844">
        <v>0.15</v>
      </c>
      <c r="E213" s="1844">
        <v>0.15</v>
      </c>
      <c r="F213" s="1845">
        <v>0.13800000000000001</v>
      </c>
    </row>
    <row r="214" spans="1:6" ht="14.25" thickBot="1">
      <c r="A214" s="1839" t="s">
        <v>1402</v>
      </c>
      <c r="B214" s="1843" t="s">
        <v>1152</v>
      </c>
      <c r="C214" s="1844">
        <v>9.0999999999999998E-2</v>
      </c>
      <c r="D214" s="1844">
        <v>0.09</v>
      </c>
      <c r="E214" s="1844">
        <v>9.1999999999999998E-2</v>
      </c>
      <c r="F214" s="1852"/>
    </row>
    <row r="215" spans="1:6" ht="14.25" thickBot="1">
      <c r="A215" s="1839" t="s">
        <v>1402</v>
      </c>
      <c r="B215" s="1843" t="s">
        <v>2143</v>
      </c>
      <c r="C215" s="1844">
        <v>0.15</v>
      </c>
      <c r="D215" s="1844">
        <v>0.15</v>
      </c>
      <c r="E215" s="1844">
        <v>0.15</v>
      </c>
      <c r="F215" s="1845">
        <v>0.15</v>
      </c>
    </row>
    <row r="216" spans="1:6" ht="14.25" thickBot="1">
      <c r="A216" s="1839" t="s">
        <v>1402</v>
      </c>
      <c r="B216" s="1843" t="s">
        <v>1172</v>
      </c>
      <c r="C216" s="1844">
        <v>0.14699999999999999</v>
      </c>
      <c r="D216" s="1844">
        <v>0.14699999999999999</v>
      </c>
      <c r="E216" s="1844">
        <v>0.15</v>
      </c>
      <c r="F216" s="1845">
        <v>0.14000000000000001</v>
      </c>
    </row>
    <row r="217" spans="1:6" ht="14.25" thickBot="1">
      <c r="A217" s="1839" t="s">
        <v>1402</v>
      </c>
      <c r="B217" s="1843" t="s">
        <v>1182</v>
      </c>
      <c r="C217" s="1844">
        <v>0.15</v>
      </c>
      <c r="D217" s="1844">
        <v>0.15</v>
      </c>
      <c r="E217" s="1844">
        <v>0.15</v>
      </c>
      <c r="F217" s="1845">
        <v>0.15</v>
      </c>
    </row>
    <row r="218" spans="1:6" ht="14.25" thickBot="1">
      <c r="A218" s="1839" t="s">
        <v>1402</v>
      </c>
      <c r="B218" s="1843" t="s">
        <v>2144</v>
      </c>
      <c r="C218" s="1844">
        <v>0.15</v>
      </c>
      <c r="D218" s="1844">
        <v>0.15</v>
      </c>
      <c r="E218" s="1844">
        <v>0.15</v>
      </c>
      <c r="F218" s="1845">
        <v>0.15</v>
      </c>
    </row>
    <row r="219" spans="1:6" ht="14.25" thickBot="1">
      <c r="A219" s="1839" t="s">
        <v>1402</v>
      </c>
      <c r="B219" s="1843" t="s">
        <v>1202</v>
      </c>
      <c r="C219" s="1844">
        <v>0.15</v>
      </c>
      <c r="D219" s="1844">
        <v>0.15</v>
      </c>
      <c r="E219" s="1844">
        <v>0.15</v>
      </c>
      <c r="F219" s="1845">
        <v>0.14799999999999999</v>
      </c>
    </row>
    <row r="220" spans="1:6" ht="14.25" thickBot="1">
      <c r="A220" s="1839" t="s">
        <v>1402</v>
      </c>
      <c r="B220" s="1843" t="s">
        <v>2145</v>
      </c>
      <c r="C220" s="1844">
        <v>0.15</v>
      </c>
      <c r="D220" s="1844">
        <v>0.15</v>
      </c>
      <c r="E220" s="1844">
        <v>0.15</v>
      </c>
      <c r="F220" s="1845">
        <v>0.15</v>
      </c>
    </row>
    <row r="221" spans="1:6" ht="14.25" thickBot="1">
      <c r="A221" s="1839" t="s">
        <v>1402</v>
      </c>
      <c r="B221" s="1843" t="s">
        <v>1222</v>
      </c>
      <c r="C221" s="1844"/>
      <c r="D221" s="1853"/>
      <c r="E221" s="1853"/>
      <c r="F221" s="1845">
        <v>0.14799999999999999</v>
      </c>
    </row>
    <row r="222" spans="1:6" ht="14.25" thickBot="1">
      <c r="A222" s="1839" t="s">
        <v>1402</v>
      </c>
      <c r="B222" s="1843" t="s">
        <v>1232</v>
      </c>
      <c r="C222" s="1844"/>
      <c r="D222" s="1853"/>
      <c r="E222" s="1853"/>
      <c r="F222" s="1845">
        <v>0.1</v>
      </c>
    </row>
    <row r="223" spans="1:6" ht="14.25" thickBot="1">
      <c r="A223" s="1839" t="s">
        <v>1402</v>
      </c>
      <c r="B223" s="1843" t="s">
        <v>1242</v>
      </c>
      <c r="C223" s="1844"/>
      <c r="D223" s="1853"/>
      <c r="E223" s="1853"/>
      <c r="F223" s="1845">
        <v>0.15</v>
      </c>
    </row>
    <row r="224" spans="1:6" ht="14.25" thickBot="1">
      <c r="A224" s="1839" t="s">
        <v>1402</v>
      </c>
      <c r="B224" s="1843" t="s">
        <v>1252</v>
      </c>
      <c r="C224" s="1844"/>
      <c r="D224" s="1853"/>
      <c r="E224" s="1853"/>
      <c r="F224" s="1845">
        <v>0.15</v>
      </c>
    </row>
    <row r="225" spans="1:6" ht="14.25" thickBot="1">
      <c r="A225" s="1839" t="s">
        <v>1402</v>
      </c>
      <c r="B225" s="1843" t="s">
        <v>2146</v>
      </c>
      <c r="C225" s="1844">
        <v>0.15</v>
      </c>
      <c r="D225" s="1844">
        <v>0.15</v>
      </c>
      <c r="E225" s="1844">
        <v>0.15</v>
      </c>
      <c r="F225" s="1845">
        <v>0.15</v>
      </c>
    </row>
    <row r="226" spans="1:6" ht="14.25" thickBot="1">
      <c r="A226" s="1839" t="s">
        <v>1402</v>
      </c>
      <c r="B226" s="1843" t="s">
        <v>1270</v>
      </c>
      <c r="C226" s="1844">
        <v>0.15</v>
      </c>
      <c r="D226" s="1844">
        <v>0.15</v>
      </c>
      <c r="E226" s="1844">
        <v>0.15</v>
      </c>
      <c r="F226" s="1845">
        <v>0.14799999999999999</v>
      </c>
    </row>
    <row r="227" spans="1:6" ht="14.25" thickBot="1">
      <c r="A227" s="1839" t="s">
        <v>1402</v>
      </c>
      <c r="B227" s="1843" t="s">
        <v>2147</v>
      </c>
      <c r="C227" s="1844">
        <v>0.15</v>
      </c>
      <c r="D227" s="1844">
        <v>0.15</v>
      </c>
      <c r="E227" s="1844">
        <v>0.15</v>
      </c>
      <c r="F227" s="1845">
        <v>0.15</v>
      </c>
    </row>
    <row r="228" spans="1:6" ht="14.25" thickBot="1">
      <c r="A228" s="1839" t="s">
        <v>1402</v>
      </c>
      <c r="B228" s="1843" t="s">
        <v>1285</v>
      </c>
      <c r="C228" s="1844">
        <v>0.15</v>
      </c>
      <c r="D228" s="1844">
        <v>0.15</v>
      </c>
      <c r="E228" s="1844">
        <v>0.15</v>
      </c>
      <c r="F228" s="1845">
        <v>0.15</v>
      </c>
    </row>
    <row r="229" spans="1:6" ht="14.25" thickBot="1">
      <c r="A229" s="1839" t="s">
        <v>1402</v>
      </c>
      <c r="B229" s="1843" t="s">
        <v>1292</v>
      </c>
      <c r="C229" s="1844">
        <v>0.15</v>
      </c>
      <c r="D229" s="1844">
        <v>0.15</v>
      </c>
      <c r="E229" s="1844">
        <v>0.15</v>
      </c>
      <c r="F229" s="1852"/>
    </row>
    <row r="230" spans="1:6" ht="14.25" thickBot="1">
      <c r="A230" s="1839" t="s">
        <v>1402</v>
      </c>
      <c r="B230" s="1843" t="s">
        <v>1299</v>
      </c>
      <c r="C230" s="1844">
        <v>0.14499999999999999</v>
      </c>
      <c r="D230" s="1844">
        <v>0.14499999999999999</v>
      </c>
      <c r="E230" s="1844">
        <v>0.14399999999999999</v>
      </c>
      <c r="F230" s="1852"/>
    </row>
    <row r="231" spans="1:6" ht="14.25" thickBot="1">
      <c r="A231" s="1839" t="s">
        <v>1402</v>
      </c>
      <c r="B231" s="1843" t="s">
        <v>2148</v>
      </c>
      <c r="C231" s="1844">
        <v>0.128</v>
      </c>
      <c r="D231" s="1844">
        <v>0.125</v>
      </c>
      <c r="E231" s="1844">
        <v>0.13200000000000001</v>
      </c>
      <c r="F231" s="1852"/>
    </row>
    <row r="232" spans="1:6" ht="14.25" thickBot="1">
      <c r="A232" s="1839" t="s">
        <v>1402</v>
      </c>
      <c r="B232" s="1843" t="s">
        <v>2149</v>
      </c>
      <c r="C232" s="1844">
        <v>0.14499999999999999</v>
      </c>
      <c r="D232" s="1844">
        <v>0.14399999999999999</v>
      </c>
      <c r="E232" s="1844">
        <v>0.14599999999999999</v>
      </c>
      <c r="F232" s="1845">
        <v>0.13800000000000001</v>
      </c>
    </row>
    <row r="233" spans="1:6" ht="14.25" thickBot="1">
      <c r="A233" s="1839" t="s">
        <v>1402</v>
      </c>
      <c r="B233" s="1843" t="s">
        <v>2150</v>
      </c>
      <c r="C233" s="1844">
        <v>0.14499999999999999</v>
      </c>
      <c r="D233" s="1844">
        <v>0.14299999999999999</v>
      </c>
      <c r="E233" s="1844">
        <v>0.14199999999999999</v>
      </c>
      <c r="F233" s="1852"/>
    </row>
    <row r="234" spans="1:6" ht="14.25" thickBot="1">
      <c r="A234" s="1839" t="s">
        <v>1402</v>
      </c>
      <c r="B234" s="1843" t="s">
        <v>2151</v>
      </c>
      <c r="C234" s="1844">
        <v>0.14000000000000001</v>
      </c>
      <c r="D234" s="1844">
        <v>0.14000000000000001</v>
      </c>
      <c r="E234" s="1844">
        <v>0.14399999999999999</v>
      </c>
      <c r="F234" s="1852"/>
    </row>
    <row r="235" spans="1:6" ht="14.25" thickBot="1">
      <c r="A235" s="1839" t="s">
        <v>1402</v>
      </c>
      <c r="B235" s="1843" t="s">
        <v>2152</v>
      </c>
      <c r="C235" s="1844">
        <v>0.14099999999999999</v>
      </c>
      <c r="D235" s="1844">
        <v>0.14199999999999999</v>
      </c>
      <c r="E235" s="1844">
        <v>0.14499999999999999</v>
      </c>
      <c r="F235" s="1845">
        <v>0.15</v>
      </c>
    </row>
    <row r="236" spans="1:6" ht="14.25" thickBot="1">
      <c r="A236" s="1839" t="s">
        <v>1402</v>
      </c>
      <c r="B236" s="1843" t="s">
        <v>1334</v>
      </c>
      <c r="C236" s="1853"/>
      <c r="D236" s="1853"/>
      <c r="E236" s="1853"/>
      <c r="F236" s="1845">
        <v>0.14299999999999999</v>
      </c>
    </row>
    <row r="237" spans="1:6" ht="24.75" thickBot="1">
      <c r="A237" s="1839" t="s">
        <v>1402</v>
      </c>
      <c r="B237" s="1843" t="s">
        <v>2153</v>
      </c>
      <c r="C237" s="1853"/>
      <c r="D237" s="1853"/>
      <c r="E237" s="1853"/>
      <c r="F237" s="1845">
        <v>0.05</v>
      </c>
    </row>
    <row r="238" spans="1:6" ht="24.75" thickBot="1">
      <c r="A238" s="1839" t="s">
        <v>1402</v>
      </c>
      <c r="B238" s="1843" t="s">
        <v>2154</v>
      </c>
      <c r="C238" s="1853"/>
      <c r="D238" s="1853"/>
      <c r="E238" s="1853"/>
      <c r="F238" s="1845">
        <v>0.05</v>
      </c>
    </row>
    <row r="239" spans="1:6" ht="24.75" thickBot="1">
      <c r="A239" s="1839" t="s">
        <v>1402</v>
      </c>
      <c r="B239" s="1843" t="s">
        <v>2155</v>
      </c>
      <c r="C239" s="1853"/>
      <c r="D239" s="1853"/>
      <c r="E239" s="1853"/>
      <c r="F239" s="1845">
        <v>0.05</v>
      </c>
    </row>
    <row r="240" spans="1:6" ht="24.75" thickBot="1">
      <c r="A240" s="1839" t="s">
        <v>1402</v>
      </c>
      <c r="B240" s="1843" t="s">
        <v>2156</v>
      </c>
      <c r="C240" s="1853"/>
      <c r="D240" s="1853"/>
      <c r="E240" s="1853"/>
      <c r="F240" s="1845">
        <v>0.05</v>
      </c>
    </row>
    <row r="241" spans="1:6" ht="24.75" thickBot="1">
      <c r="A241" s="1839" t="s">
        <v>1402</v>
      </c>
      <c r="B241" s="1843" t="s">
        <v>2157</v>
      </c>
      <c r="C241" s="1853"/>
      <c r="D241" s="1853"/>
      <c r="E241" s="1853"/>
      <c r="F241" s="1845">
        <v>0.05</v>
      </c>
    </row>
    <row r="242" spans="1:6" ht="24.75" thickBot="1">
      <c r="A242" s="1839" t="s">
        <v>1402</v>
      </c>
      <c r="B242" s="1843" t="s">
        <v>2158</v>
      </c>
      <c r="C242" s="1853"/>
      <c r="D242" s="1853"/>
      <c r="E242" s="1853"/>
      <c r="F242" s="1845">
        <v>0.05</v>
      </c>
    </row>
    <row r="243" spans="1:6" ht="24.75" thickBot="1">
      <c r="A243" s="1839" t="s">
        <v>1402</v>
      </c>
      <c r="B243" s="1843" t="s">
        <v>2159</v>
      </c>
      <c r="C243" s="1853"/>
      <c r="D243" s="1853"/>
      <c r="E243" s="1853"/>
      <c r="F243" s="1845">
        <v>0.05</v>
      </c>
    </row>
    <row r="244" spans="1:6" ht="24.75" thickBot="1">
      <c r="A244" s="1847" t="s">
        <v>1402</v>
      </c>
      <c r="B244" s="1854" t="s">
        <v>2160</v>
      </c>
      <c r="C244" s="1850"/>
      <c r="D244" s="1850"/>
      <c r="E244" s="1850"/>
      <c r="F244" s="1855">
        <v>0.05</v>
      </c>
    </row>
    <row r="245" spans="1:6" ht="14.25" thickBot="1">
      <c r="A245" s="1839" t="s">
        <v>1404</v>
      </c>
      <c r="B245" s="1840" t="s">
        <v>2161</v>
      </c>
      <c r="C245" s="1841">
        <v>0.15</v>
      </c>
      <c r="D245" s="1841">
        <v>0.15</v>
      </c>
      <c r="E245" s="1841">
        <v>0.15</v>
      </c>
      <c r="F245" s="1842">
        <v>0.14299999999999999</v>
      </c>
    </row>
    <row r="246" spans="1:6" ht="14.25" thickBot="1">
      <c r="A246" s="1839" t="s">
        <v>1404</v>
      </c>
      <c r="B246" s="1843" t="s">
        <v>1067</v>
      </c>
      <c r="C246" s="1844">
        <v>0.15</v>
      </c>
      <c r="D246" s="1844">
        <v>0.15</v>
      </c>
      <c r="E246" s="1844">
        <v>0.15</v>
      </c>
      <c r="F246" s="1845">
        <v>0.114</v>
      </c>
    </row>
    <row r="247" spans="1:6" ht="14.25" thickBot="1">
      <c r="A247" s="1839" t="s">
        <v>1404</v>
      </c>
      <c r="B247" s="1843" t="s">
        <v>2162</v>
      </c>
      <c r="C247" s="1844">
        <v>0.15</v>
      </c>
      <c r="D247" s="1844">
        <v>0.15</v>
      </c>
      <c r="E247" s="1844">
        <v>0.15</v>
      </c>
      <c r="F247" s="1845">
        <v>0.15</v>
      </c>
    </row>
    <row r="248" spans="1:6" ht="14.25" thickBot="1">
      <c r="A248" s="1839" t="s">
        <v>1404</v>
      </c>
      <c r="B248" s="1843" t="s">
        <v>2163</v>
      </c>
      <c r="C248" s="1844">
        <v>0.15</v>
      </c>
      <c r="D248" s="1844">
        <v>0.15</v>
      </c>
      <c r="E248" s="1844">
        <v>0.15</v>
      </c>
      <c r="F248" s="1845">
        <v>0.14000000000000001</v>
      </c>
    </row>
    <row r="249" spans="1:6" ht="14.25" thickBot="1">
      <c r="A249" s="1839" t="s">
        <v>1404</v>
      </c>
      <c r="B249" s="1843" t="s">
        <v>2164</v>
      </c>
      <c r="C249" s="1844">
        <v>0.15</v>
      </c>
      <c r="D249" s="1844">
        <v>0.14899999999999999</v>
      </c>
      <c r="E249" s="1844">
        <v>0.15</v>
      </c>
      <c r="F249" s="1845">
        <v>0.1</v>
      </c>
    </row>
    <row r="250" spans="1:6" ht="14.25" thickBot="1">
      <c r="A250" s="1839" t="s">
        <v>1404</v>
      </c>
      <c r="B250" s="1843" t="s">
        <v>2165</v>
      </c>
      <c r="C250" s="1844">
        <v>0.15</v>
      </c>
      <c r="D250" s="1844">
        <v>0.15</v>
      </c>
      <c r="E250" s="1844">
        <v>0.15</v>
      </c>
      <c r="F250" s="1845">
        <v>0.14399999999999999</v>
      </c>
    </row>
    <row r="251" spans="1:6" ht="14.25" thickBot="1">
      <c r="A251" s="1839" t="s">
        <v>1404</v>
      </c>
      <c r="B251" s="1843" t="s">
        <v>1130</v>
      </c>
      <c r="C251" s="1844">
        <v>0.15</v>
      </c>
      <c r="D251" s="1844">
        <v>0.15</v>
      </c>
      <c r="E251" s="1844">
        <v>0.15</v>
      </c>
      <c r="F251" s="1845">
        <v>0.14299999999999999</v>
      </c>
    </row>
    <row r="252" spans="1:6" ht="14.25" thickBot="1">
      <c r="A252" s="1839" t="s">
        <v>1404</v>
      </c>
      <c r="B252" s="1843" t="s">
        <v>1141</v>
      </c>
      <c r="C252" s="1844">
        <v>0.15</v>
      </c>
      <c r="D252" s="1844">
        <v>0.15</v>
      </c>
      <c r="E252" s="1844">
        <v>0.15</v>
      </c>
      <c r="F252" s="1845">
        <v>0.1</v>
      </c>
    </row>
    <row r="253" spans="1:6" ht="14.25" thickBot="1">
      <c r="A253" s="1839" t="s">
        <v>1404</v>
      </c>
      <c r="B253" s="1843" t="s">
        <v>1153</v>
      </c>
      <c r="C253" s="1844">
        <v>0.15</v>
      </c>
      <c r="D253" s="1844">
        <v>0.15</v>
      </c>
      <c r="E253" s="1844">
        <v>0.15</v>
      </c>
      <c r="F253" s="1845">
        <v>0.1</v>
      </c>
    </row>
    <row r="254" spans="1:6" ht="14.25" thickBot="1">
      <c r="A254" s="1839" t="s">
        <v>1404</v>
      </c>
      <c r="B254" s="1843" t="s">
        <v>1163</v>
      </c>
      <c r="C254" s="1853"/>
      <c r="D254" s="1853"/>
      <c r="E254" s="1853"/>
      <c r="F254" s="1845">
        <v>0.15</v>
      </c>
    </row>
    <row r="255" spans="1:6" ht="14.25" thickBot="1">
      <c r="A255" s="1839" t="s">
        <v>1404</v>
      </c>
      <c r="B255" s="1843" t="s">
        <v>1173</v>
      </c>
      <c r="C255" s="1853"/>
      <c r="D255" s="1853"/>
      <c r="E255" s="1853"/>
      <c r="F255" s="1845">
        <v>0.14299999999999999</v>
      </c>
    </row>
    <row r="256" spans="1:6" ht="14.25" thickBot="1">
      <c r="A256" s="1839" t="s">
        <v>1404</v>
      </c>
      <c r="B256" s="1843" t="s">
        <v>2166</v>
      </c>
      <c r="C256" s="1844">
        <v>0.14599999999999999</v>
      </c>
      <c r="D256" s="1844">
        <v>0.14699999999999999</v>
      </c>
      <c r="E256" s="1844">
        <v>0.15</v>
      </c>
      <c r="F256" s="1845">
        <v>0.13200000000000001</v>
      </c>
    </row>
    <row r="257" spans="1:6" ht="14.25" thickBot="1">
      <c r="A257" s="1839" t="s">
        <v>1404</v>
      </c>
      <c r="B257" s="1843" t="s">
        <v>1193</v>
      </c>
      <c r="C257" s="1844">
        <v>0.15</v>
      </c>
      <c r="D257" s="1844">
        <v>0.15</v>
      </c>
      <c r="E257" s="1844">
        <v>0.15</v>
      </c>
      <c r="F257" s="1845">
        <v>0.13900000000000001</v>
      </c>
    </row>
    <row r="258" spans="1:6" ht="14.25" thickBot="1">
      <c r="A258" s="1839" t="s">
        <v>1404</v>
      </c>
      <c r="B258" s="1843" t="s">
        <v>1203</v>
      </c>
      <c r="C258" s="1844">
        <v>0.15</v>
      </c>
      <c r="D258" s="1844">
        <v>0.15</v>
      </c>
      <c r="E258" s="1844">
        <v>0.15</v>
      </c>
      <c r="F258" s="1845">
        <v>0.13</v>
      </c>
    </row>
    <row r="259" spans="1:6" ht="14.25" thickBot="1">
      <c r="A259" s="1839" t="s">
        <v>1404</v>
      </c>
      <c r="B259" s="1843" t="s">
        <v>2167</v>
      </c>
      <c r="C259" s="1844">
        <v>0.14799999999999999</v>
      </c>
      <c r="D259" s="1844">
        <v>0.14899999999999999</v>
      </c>
      <c r="E259" s="1844">
        <v>0.15</v>
      </c>
      <c r="F259" s="1845">
        <v>0.13700000000000001</v>
      </c>
    </row>
    <row r="260" spans="1:6" ht="14.25" thickBot="1">
      <c r="A260" s="1839" t="s">
        <v>1404</v>
      </c>
      <c r="B260" s="1843" t="s">
        <v>1223</v>
      </c>
      <c r="C260" s="1844">
        <v>0.15</v>
      </c>
      <c r="D260" s="1844">
        <v>0.15</v>
      </c>
      <c r="E260" s="1844">
        <v>0.15</v>
      </c>
      <c r="F260" s="1845">
        <v>0.14199999999999999</v>
      </c>
    </row>
    <row r="261" spans="1:6" ht="14.25" thickBot="1">
      <c r="A261" s="1839" t="s">
        <v>1404</v>
      </c>
      <c r="B261" s="1843" t="s">
        <v>1233</v>
      </c>
      <c r="C261" s="1844">
        <v>0.15</v>
      </c>
      <c r="D261" s="1844">
        <v>0.15</v>
      </c>
      <c r="E261" s="1844">
        <v>0.14899999999999999</v>
      </c>
      <c r="F261" s="1845">
        <v>0.14799999999999999</v>
      </c>
    </row>
    <row r="262" spans="1:6" ht="14.25" thickBot="1">
      <c r="A262" s="1839" t="s">
        <v>1404</v>
      </c>
      <c r="B262" s="1843" t="s">
        <v>1243</v>
      </c>
      <c r="C262" s="1844">
        <v>0.15</v>
      </c>
      <c r="D262" s="1844">
        <v>0.15</v>
      </c>
      <c r="E262" s="1844">
        <v>0.15</v>
      </c>
      <c r="F262" s="1852"/>
    </row>
    <row r="263" spans="1:6" ht="14.25" thickBot="1">
      <c r="A263" s="1839" t="s">
        <v>1404</v>
      </c>
      <c r="B263" s="1843" t="s">
        <v>2168</v>
      </c>
      <c r="C263" s="1844">
        <v>0.14899999999999999</v>
      </c>
      <c r="D263" s="1844">
        <v>0.14899999999999999</v>
      </c>
      <c r="E263" s="1844">
        <v>0.15</v>
      </c>
      <c r="F263" s="1845">
        <v>0.13</v>
      </c>
    </row>
    <row r="264" spans="1:6" ht="14.25" thickBot="1">
      <c r="A264" s="1839" t="s">
        <v>1404</v>
      </c>
      <c r="B264" s="1843" t="s">
        <v>1262</v>
      </c>
      <c r="C264" s="1844">
        <v>0.14799999999999999</v>
      </c>
      <c r="D264" s="1844">
        <v>0.14699999999999999</v>
      </c>
      <c r="E264" s="1844">
        <v>0.15</v>
      </c>
      <c r="F264" s="1845">
        <v>7.8E-2</v>
      </c>
    </row>
    <row r="265" spans="1:6" ht="14.25" thickBot="1">
      <c r="A265" s="1839" t="s">
        <v>1404</v>
      </c>
      <c r="B265" s="1843" t="s">
        <v>1271</v>
      </c>
      <c r="C265" s="1844">
        <v>0.15</v>
      </c>
      <c r="D265" s="1844">
        <v>0.15</v>
      </c>
      <c r="E265" s="1844">
        <v>0.15</v>
      </c>
      <c r="F265" s="1845">
        <v>7.3999999999999996E-2</v>
      </c>
    </row>
    <row r="266" spans="1:6" ht="14.25" thickBot="1">
      <c r="A266" s="1839" t="s">
        <v>1404</v>
      </c>
      <c r="B266" s="1843" t="s">
        <v>1279</v>
      </c>
      <c r="C266" s="1844">
        <v>0.14699999999999999</v>
      </c>
      <c r="D266" s="1844">
        <v>0.14699999999999999</v>
      </c>
      <c r="E266" s="1844">
        <v>0.15</v>
      </c>
      <c r="F266" s="1845">
        <v>0.14299999999999999</v>
      </c>
    </row>
    <row r="267" spans="1:6" ht="14.25" thickBot="1">
      <c r="A267" s="1839" t="s">
        <v>1404</v>
      </c>
      <c r="B267" s="1843" t="s">
        <v>1286</v>
      </c>
      <c r="C267" s="1844">
        <v>0.14199999999999999</v>
      </c>
      <c r="D267" s="1844">
        <v>0.14299999999999999</v>
      </c>
      <c r="E267" s="1844">
        <v>0.15</v>
      </c>
      <c r="F267" s="1852"/>
    </row>
    <row r="268" spans="1:6" ht="14.25" thickBot="1">
      <c r="A268" s="1839" t="s">
        <v>1404</v>
      </c>
      <c r="B268" s="1843" t="s">
        <v>2169</v>
      </c>
      <c r="C268" s="1844">
        <v>0.15</v>
      </c>
      <c r="D268" s="1844">
        <v>0.15</v>
      </c>
      <c r="E268" s="1844">
        <v>0.15</v>
      </c>
      <c r="F268" s="1845">
        <v>0.13</v>
      </c>
    </row>
    <row r="269" spans="1:6" ht="14.25" thickBot="1">
      <c r="A269" s="1839" t="s">
        <v>1404</v>
      </c>
      <c r="B269" s="1843" t="s">
        <v>1300</v>
      </c>
      <c r="C269" s="1844">
        <v>0.15</v>
      </c>
      <c r="D269" s="1844">
        <v>0.15</v>
      </c>
      <c r="E269" s="1844">
        <v>0.15</v>
      </c>
      <c r="F269" s="1845">
        <v>0.14299999999999999</v>
      </c>
    </row>
    <row r="270" spans="1:6" ht="14.25" thickBot="1">
      <c r="A270" s="1839" t="s">
        <v>1404</v>
      </c>
      <c r="B270" s="1843" t="s">
        <v>1307</v>
      </c>
      <c r="C270" s="1844">
        <v>0.14499999999999999</v>
      </c>
      <c r="D270" s="1844">
        <v>0.14499999999999999</v>
      </c>
      <c r="E270" s="1844">
        <v>0.15</v>
      </c>
      <c r="F270" s="1845">
        <v>0.14699999999999999</v>
      </c>
    </row>
    <row r="271" spans="1:6" ht="14.25" thickBot="1">
      <c r="A271" s="1839" t="s">
        <v>1404</v>
      </c>
      <c r="B271" s="1843" t="s">
        <v>1314</v>
      </c>
      <c r="C271" s="1844">
        <v>0.15</v>
      </c>
      <c r="D271" s="1844">
        <v>0.15</v>
      </c>
      <c r="E271" s="1844">
        <v>0.15</v>
      </c>
      <c r="F271" s="1845">
        <v>0.13800000000000001</v>
      </c>
    </row>
    <row r="272" spans="1:6" ht="14.25" thickBot="1">
      <c r="A272" s="1839" t="s">
        <v>1404</v>
      </c>
      <c r="B272" s="1843" t="s">
        <v>1321</v>
      </c>
      <c r="C272" s="1853"/>
      <c r="D272" s="1853"/>
      <c r="E272" s="1853"/>
      <c r="F272" s="1845">
        <v>0.14000000000000001</v>
      </c>
    </row>
    <row r="273" spans="1:6" ht="14.25" thickBot="1">
      <c r="A273" s="1839" t="s">
        <v>1404</v>
      </c>
      <c r="B273" s="1843" t="s">
        <v>2170</v>
      </c>
      <c r="C273" s="1844">
        <v>0.14199999999999999</v>
      </c>
      <c r="D273" s="1844">
        <v>0.14299999999999999</v>
      </c>
      <c r="E273" s="1844">
        <v>0.15</v>
      </c>
      <c r="F273" s="1845">
        <v>0.1</v>
      </c>
    </row>
    <row r="274" spans="1:6" ht="14.25" thickBot="1">
      <c r="A274" s="1839" t="s">
        <v>1404</v>
      </c>
      <c r="B274" s="1843" t="s">
        <v>2171</v>
      </c>
      <c r="C274" s="1844">
        <v>0.14799999999999999</v>
      </c>
      <c r="D274" s="1844">
        <v>0.14799999999999999</v>
      </c>
      <c r="E274" s="1844">
        <v>0.15</v>
      </c>
      <c r="F274" s="1845">
        <v>6.7000000000000004E-2</v>
      </c>
    </row>
    <row r="275" spans="1:6" ht="14.25" thickBot="1">
      <c r="A275" s="1839" t="s">
        <v>1404</v>
      </c>
      <c r="B275" s="1843" t="s">
        <v>2172</v>
      </c>
      <c r="C275" s="1844">
        <v>0.15</v>
      </c>
      <c r="D275" s="1844">
        <v>0.15</v>
      </c>
      <c r="E275" s="1844">
        <v>0.15</v>
      </c>
      <c r="F275" s="1845">
        <v>0.15</v>
      </c>
    </row>
    <row r="276" spans="1:6" ht="14.25" thickBot="1">
      <c r="A276" s="1839" t="s">
        <v>1404</v>
      </c>
      <c r="B276" s="1843" t="s">
        <v>2173</v>
      </c>
      <c r="C276" s="1844">
        <v>0.14499999999999999</v>
      </c>
      <c r="D276" s="1844">
        <v>0.14299999999999999</v>
      </c>
      <c r="E276" s="1844">
        <v>0.15</v>
      </c>
      <c r="F276" s="1845">
        <v>5.8999999999999997E-2</v>
      </c>
    </row>
    <row r="277" spans="1:6" ht="14.25" thickBot="1">
      <c r="A277" s="1839" t="s">
        <v>1404</v>
      </c>
      <c r="B277" s="1843" t="s">
        <v>2174</v>
      </c>
      <c r="C277" s="1844">
        <v>0.15</v>
      </c>
      <c r="D277" s="1844">
        <v>0.15</v>
      </c>
      <c r="E277" s="1844">
        <v>0.15</v>
      </c>
      <c r="F277" s="1845">
        <v>0.121</v>
      </c>
    </row>
    <row r="278" spans="1:6" ht="14.25" thickBot="1">
      <c r="A278" s="1839" t="s">
        <v>1404</v>
      </c>
      <c r="B278" s="1843" t="s">
        <v>2175</v>
      </c>
      <c r="C278" s="1844">
        <v>0.15</v>
      </c>
      <c r="D278" s="1844">
        <v>0.15</v>
      </c>
      <c r="E278" s="1844">
        <v>0.15</v>
      </c>
      <c r="F278" s="1845">
        <v>0.13800000000000001</v>
      </c>
    </row>
    <row r="279" spans="1:6" ht="24.75" thickBot="1">
      <c r="A279" s="1839" t="s">
        <v>1404</v>
      </c>
      <c r="B279" s="1843" t="s">
        <v>2176</v>
      </c>
      <c r="C279" s="1853"/>
      <c r="D279" s="1853"/>
      <c r="E279" s="1853"/>
      <c r="F279" s="1845">
        <v>0.05</v>
      </c>
    </row>
    <row r="280" spans="1:6" ht="24.75" thickBot="1">
      <c r="A280" s="1839" t="s">
        <v>1404</v>
      </c>
      <c r="B280" s="1843" t="s">
        <v>2177</v>
      </c>
      <c r="C280" s="1853"/>
      <c r="D280" s="1853"/>
      <c r="E280" s="1853"/>
      <c r="F280" s="1845">
        <v>0.05</v>
      </c>
    </row>
    <row r="281" spans="1:6" ht="24.75" thickBot="1">
      <c r="A281" s="1839" t="s">
        <v>1404</v>
      </c>
      <c r="B281" s="1843" t="s">
        <v>2178</v>
      </c>
      <c r="C281" s="1853"/>
      <c r="D281" s="1853"/>
      <c r="E281" s="1853"/>
      <c r="F281" s="1845">
        <v>0.05</v>
      </c>
    </row>
    <row r="282" spans="1:6" ht="24.75" thickBot="1">
      <c r="A282" s="1839" t="s">
        <v>1404</v>
      </c>
      <c r="B282" s="1843" t="s">
        <v>2179</v>
      </c>
      <c r="C282" s="1853"/>
      <c r="D282" s="1853"/>
      <c r="E282" s="1853"/>
      <c r="F282" s="1845">
        <v>0.05</v>
      </c>
    </row>
    <row r="283" spans="1:6" ht="24.75" thickBot="1">
      <c r="A283" s="1839" t="s">
        <v>1404</v>
      </c>
      <c r="B283" s="1843" t="s">
        <v>2180</v>
      </c>
      <c r="C283" s="1853"/>
      <c r="D283" s="1853"/>
      <c r="E283" s="1853"/>
      <c r="F283" s="1845">
        <v>0.05</v>
      </c>
    </row>
    <row r="284" spans="1:6" ht="24.75" thickBot="1">
      <c r="A284" s="1839" t="s">
        <v>1404</v>
      </c>
      <c r="B284" s="1843" t="s">
        <v>2181</v>
      </c>
      <c r="C284" s="1853"/>
      <c r="D284" s="1853"/>
      <c r="E284" s="1853"/>
      <c r="F284" s="1845">
        <v>0.05</v>
      </c>
    </row>
    <row r="285" spans="1:6" ht="24.75" thickBot="1">
      <c r="A285" s="1839" t="s">
        <v>1404</v>
      </c>
      <c r="B285" s="1843" t="s">
        <v>2182</v>
      </c>
      <c r="C285" s="1853"/>
      <c r="D285" s="1853"/>
      <c r="E285" s="1853"/>
      <c r="F285" s="1845">
        <v>0.05</v>
      </c>
    </row>
    <row r="286" spans="1:6" ht="24.75" thickBot="1">
      <c r="A286" s="1839" t="s">
        <v>1404</v>
      </c>
      <c r="B286" s="1843" t="s">
        <v>2183</v>
      </c>
      <c r="C286" s="1853"/>
      <c r="D286" s="1853"/>
      <c r="E286" s="1853"/>
      <c r="F286" s="1845">
        <v>0.05</v>
      </c>
    </row>
    <row r="287" spans="1:6" ht="24.75" thickBot="1">
      <c r="A287" s="1839" t="s">
        <v>1404</v>
      </c>
      <c r="B287" s="1843" t="s">
        <v>2184</v>
      </c>
      <c r="C287" s="1853"/>
      <c r="D287" s="1853"/>
      <c r="E287" s="1853"/>
      <c r="F287" s="1845">
        <v>0.05</v>
      </c>
    </row>
    <row r="288" spans="1:6" ht="24.75" thickBot="1">
      <c r="A288" s="1839" t="s">
        <v>1404</v>
      </c>
      <c r="B288" s="1843" t="s">
        <v>2185</v>
      </c>
      <c r="C288" s="1853"/>
      <c r="D288" s="1853"/>
      <c r="E288" s="1853"/>
      <c r="F288" s="1845">
        <v>0.05</v>
      </c>
    </row>
    <row r="289" spans="1:6" ht="24.75" thickBot="1">
      <c r="A289" s="1847" t="s">
        <v>1404</v>
      </c>
      <c r="B289" s="1854" t="s">
        <v>2186</v>
      </c>
      <c r="C289" s="1850"/>
      <c r="D289" s="1850"/>
      <c r="E289" s="1850"/>
      <c r="F289" s="1855">
        <v>0.05</v>
      </c>
    </row>
    <row r="290" spans="1:6" ht="14.25" thickBot="1">
      <c r="A290" s="1839" t="s">
        <v>1408</v>
      </c>
      <c r="B290" s="1840" t="s">
        <v>2187</v>
      </c>
      <c r="C290" s="1841">
        <v>0.15</v>
      </c>
      <c r="D290" s="1841">
        <v>0.15</v>
      </c>
      <c r="E290" s="1841">
        <v>0.15</v>
      </c>
      <c r="F290" s="1863"/>
    </row>
    <row r="291" spans="1:6" ht="14.25" thickBot="1">
      <c r="A291" s="1839" t="s">
        <v>1408</v>
      </c>
      <c r="B291" s="1843" t="s">
        <v>1068</v>
      </c>
      <c r="C291" s="1844">
        <v>0.15</v>
      </c>
      <c r="D291" s="1844">
        <v>0.15</v>
      </c>
      <c r="E291" s="1844">
        <v>0.15</v>
      </c>
      <c r="F291" s="1852"/>
    </row>
    <row r="292" spans="1:6" ht="14.25" thickBot="1">
      <c r="A292" s="1839" t="s">
        <v>1408</v>
      </c>
      <c r="B292" s="1843" t="s">
        <v>2188</v>
      </c>
      <c r="C292" s="1844">
        <v>0.15</v>
      </c>
      <c r="D292" s="1844">
        <v>0.15</v>
      </c>
      <c r="E292" s="1844">
        <v>0.15</v>
      </c>
      <c r="F292" s="1845">
        <v>0.14699999999999999</v>
      </c>
    </row>
    <row r="293" spans="1:6" ht="14.25" thickBot="1">
      <c r="A293" s="1839" t="s">
        <v>1408</v>
      </c>
      <c r="B293" s="1843" t="s">
        <v>2189</v>
      </c>
      <c r="C293" s="1853"/>
      <c r="D293" s="1853"/>
      <c r="E293" s="1853"/>
      <c r="F293" s="1845">
        <v>0.1</v>
      </c>
    </row>
    <row r="294" spans="1:6" ht="14.25" thickBot="1">
      <c r="A294" s="1839" t="s">
        <v>1408</v>
      </c>
      <c r="B294" s="1843" t="s">
        <v>2190</v>
      </c>
      <c r="C294" s="1844">
        <v>0.15</v>
      </c>
      <c r="D294" s="1844">
        <v>0.15</v>
      </c>
      <c r="E294" s="1844">
        <v>0.15</v>
      </c>
      <c r="F294" s="1845">
        <v>0.15</v>
      </c>
    </row>
    <row r="295" spans="1:6" ht="14.25" thickBot="1">
      <c r="A295" s="1839" t="s">
        <v>1408</v>
      </c>
      <c r="B295" s="1843" t="s">
        <v>1109</v>
      </c>
      <c r="C295" s="1844">
        <v>0.15</v>
      </c>
      <c r="D295" s="1844">
        <v>0.15</v>
      </c>
      <c r="E295" s="1844">
        <v>0.15</v>
      </c>
      <c r="F295" s="1845">
        <v>0.15</v>
      </c>
    </row>
    <row r="296" spans="1:6" ht="14.25" thickBot="1">
      <c r="A296" s="1839" t="s">
        <v>1408</v>
      </c>
      <c r="B296" s="1843" t="s">
        <v>2191</v>
      </c>
      <c r="C296" s="1844">
        <v>0.15</v>
      </c>
      <c r="D296" s="1844">
        <v>0.15</v>
      </c>
      <c r="E296" s="1844">
        <v>0.15</v>
      </c>
      <c r="F296" s="1845">
        <v>0.15</v>
      </c>
    </row>
    <row r="297" spans="1:6" ht="14.25" thickBot="1">
      <c r="A297" s="1839" t="s">
        <v>1408</v>
      </c>
      <c r="B297" s="1843" t="s">
        <v>2192</v>
      </c>
      <c r="C297" s="1844">
        <v>0.14799999999999999</v>
      </c>
      <c r="D297" s="1844">
        <v>0.14899999999999999</v>
      </c>
      <c r="E297" s="1844">
        <v>0.15</v>
      </c>
      <c r="F297" s="1845">
        <v>0.13700000000000001</v>
      </c>
    </row>
    <row r="298" spans="1:6" ht="14.25" thickBot="1">
      <c r="A298" s="1839" t="s">
        <v>1408</v>
      </c>
      <c r="B298" s="1843" t="s">
        <v>1142</v>
      </c>
      <c r="C298" s="1844">
        <v>0.13400000000000001</v>
      </c>
      <c r="D298" s="1844">
        <v>0.13400000000000001</v>
      </c>
      <c r="E298" s="1844">
        <v>0.14499999999999999</v>
      </c>
      <c r="F298" s="1845">
        <v>0.14799999999999999</v>
      </c>
    </row>
    <row r="299" spans="1:6" ht="14.25" thickBot="1">
      <c r="A299" s="1839" t="s">
        <v>1408</v>
      </c>
      <c r="B299" s="1843" t="s">
        <v>1154</v>
      </c>
      <c r="C299" s="1844">
        <v>0.15</v>
      </c>
      <c r="D299" s="1844">
        <v>0.15</v>
      </c>
      <c r="E299" s="1844">
        <v>0.15</v>
      </c>
      <c r="F299" s="1852"/>
    </row>
    <row r="300" spans="1:6" ht="14.25" thickBot="1">
      <c r="A300" s="1839" t="s">
        <v>1408</v>
      </c>
      <c r="B300" s="1843" t="s">
        <v>2193</v>
      </c>
      <c r="C300" s="1844">
        <v>0.15</v>
      </c>
      <c r="D300" s="1844">
        <v>0.15</v>
      </c>
      <c r="E300" s="1844">
        <v>0.15</v>
      </c>
      <c r="F300" s="1845">
        <v>0.15</v>
      </c>
    </row>
    <row r="301" spans="1:6" ht="14.25" thickBot="1">
      <c r="A301" s="1839" t="s">
        <v>1408</v>
      </c>
      <c r="B301" s="1843" t="s">
        <v>1174</v>
      </c>
      <c r="C301" s="1844">
        <v>0.15</v>
      </c>
      <c r="D301" s="1844">
        <v>0.15</v>
      </c>
      <c r="E301" s="1844">
        <v>0.15</v>
      </c>
      <c r="F301" s="1852"/>
    </row>
    <row r="302" spans="1:6" ht="14.25" thickBot="1">
      <c r="A302" s="1839" t="s">
        <v>1408</v>
      </c>
      <c r="B302" s="1843" t="s">
        <v>2194</v>
      </c>
      <c r="C302" s="1844">
        <v>0.15</v>
      </c>
      <c r="D302" s="1844">
        <v>0.15</v>
      </c>
      <c r="E302" s="1844">
        <v>0.15</v>
      </c>
      <c r="F302" s="1845">
        <v>0.15</v>
      </c>
    </row>
    <row r="303" spans="1:6" ht="14.25" thickBot="1">
      <c r="A303" s="1839" t="s">
        <v>1408</v>
      </c>
      <c r="B303" s="1843" t="s">
        <v>1194</v>
      </c>
      <c r="C303" s="1844">
        <v>0.15</v>
      </c>
      <c r="D303" s="1844">
        <v>0.15</v>
      </c>
      <c r="E303" s="1844">
        <v>0.15</v>
      </c>
      <c r="F303" s="1845">
        <v>0.15</v>
      </c>
    </row>
    <row r="304" spans="1:6" ht="14.25" thickBot="1">
      <c r="A304" s="1839" t="s">
        <v>1408</v>
      </c>
      <c r="B304" s="1843" t="s">
        <v>1204</v>
      </c>
      <c r="C304" s="1844">
        <v>0.15</v>
      </c>
      <c r="D304" s="1844">
        <v>0.15</v>
      </c>
      <c r="E304" s="1844">
        <v>0.15</v>
      </c>
      <c r="F304" s="1852"/>
    </row>
    <row r="305" spans="1:6" ht="14.25" thickBot="1">
      <c r="A305" s="1839" t="s">
        <v>1408</v>
      </c>
      <c r="B305" s="1843" t="s">
        <v>2195</v>
      </c>
      <c r="C305" s="1844">
        <v>0.15</v>
      </c>
      <c r="D305" s="1844">
        <v>0.15</v>
      </c>
      <c r="E305" s="1844">
        <v>0.15</v>
      </c>
      <c r="F305" s="1845">
        <v>0.14000000000000001</v>
      </c>
    </row>
    <row r="306" spans="1:6" ht="14.25" thickBot="1">
      <c r="A306" s="1839" t="s">
        <v>1408</v>
      </c>
      <c r="B306" s="1843" t="s">
        <v>1224</v>
      </c>
      <c r="C306" s="1844">
        <v>0.15</v>
      </c>
      <c r="D306" s="1844">
        <v>0.15</v>
      </c>
      <c r="E306" s="1844">
        <v>0.15</v>
      </c>
      <c r="F306" s="1852"/>
    </row>
    <row r="307" spans="1:6" ht="14.25" thickBot="1">
      <c r="A307" s="1839" t="s">
        <v>1408</v>
      </c>
      <c r="B307" s="1843" t="s">
        <v>2196</v>
      </c>
      <c r="C307" s="1844">
        <v>0.15</v>
      </c>
      <c r="D307" s="1844">
        <v>0.15</v>
      </c>
      <c r="E307" s="1844">
        <v>0.15</v>
      </c>
      <c r="F307" s="1845">
        <v>0.14299999999999999</v>
      </c>
    </row>
    <row r="308" spans="1:6" ht="14.25" thickBot="1">
      <c r="A308" s="1839" t="s">
        <v>1408</v>
      </c>
      <c r="B308" s="1843" t="s">
        <v>1244</v>
      </c>
      <c r="C308" s="1844">
        <v>0.15</v>
      </c>
      <c r="D308" s="1844">
        <v>0.15</v>
      </c>
      <c r="E308" s="1844">
        <v>0.15</v>
      </c>
      <c r="F308" s="1845">
        <v>0.15</v>
      </c>
    </row>
    <row r="309" spans="1:6" ht="14.25" thickBot="1">
      <c r="A309" s="1839" t="s">
        <v>1408</v>
      </c>
      <c r="B309" s="1843" t="s">
        <v>1254</v>
      </c>
      <c r="C309" s="1844">
        <v>0.15</v>
      </c>
      <c r="D309" s="1844">
        <v>0.15</v>
      </c>
      <c r="E309" s="1844">
        <v>0.15</v>
      </c>
      <c r="F309" s="1852"/>
    </row>
    <row r="310" spans="1:6" ht="14.25" thickBot="1">
      <c r="A310" s="1839" t="s">
        <v>1408</v>
      </c>
      <c r="B310" s="1843" t="s">
        <v>2197</v>
      </c>
      <c r="C310" s="1844">
        <v>0.15</v>
      </c>
      <c r="D310" s="1844">
        <v>0.15</v>
      </c>
      <c r="E310" s="1844">
        <v>0.15</v>
      </c>
      <c r="F310" s="1845">
        <v>0.13700000000000001</v>
      </c>
    </row>
    <row r="311" spans="1:6" ht="14.25" thickBot="1">
      <c r="A311" s="1839" t="s">
        <v>1408</v>
      </c>
      <c r="B311" s="1843" t="s">
        <v>2198</v>
      </c>
      <c r="C311" s="1844">
        <v>0.15</v>
      </c>
      <c r="D311" s="1844">
        <v>0.15</v>
      </c>
      <c r="E311" s="1844">
        <v>0.15</v>
      </c>
      <c r="F311" s="1845">
        <v>0.15</v>
      </c>
    </row>
    <row r="312" spans="1:6" ht="14.25" thickBot="1">
      <c r="A312" s="1839" t="s">
        <v>1408</v>
      </c>
      <c r="B312" s="1843" t="s">
        <v>1280</v>
      </c>
      <c r="C312" s="1844">
        <v>0.15</v>
      </c>
      <c r="D312" s="1844">
        <v>0.15</v>
      </c>
      <c r="E312" s="1844">
        <v>0.15</v>
      </c>
      <c r="F312" s="1845">
        <v>0.1</v>
      </c>
    </row>
    <row r="313" spans="1:6" ht="14.25" thickBot="1">
      <c r="A313" s="1839" t="s">
        <v>1408</v>
      </c>
      <c r="B313" s="1843" t="s">
        <v>2199</v>
      </c>
      <c r="C313" s="1844">
        <v>0.15</v>
      </c>
      <c r="D313" s="1844">
        <v>0.15</v>
      </c>
      <c r="E313" s="1844">
        <v>0.15</v>
      </c>
      <c r="F313" s="1845">
        <v>0.15</v>
      </c>
    </row>
    <row r="314" spans="1:6" ht="24.75" thickBot="1">
      <c r="A314" s="1839" t="s">
        <v>1408</v>
      </c>
      <c r="B314" s="1843" t="s">
        <v>2200</v>
      </c>
      <c r="C314" s="1853"/>
      <c r="D314" s="1853"/>
      <c r="E314" s="1853"/>
      <c r="F314" s="1845">
        <v>0.05</v>
      </c>
    </row>
    <row r="315" spans="1:6" ht="24.75" thickBot="1">
      <c r="A315" s="1839" t="s">
        <v>1408</v>
      </c>
      <c r="B315" s="1843" t="s">
        <v>2201</v>
      </c>
      <c r="C315" s="1853"/>
      <c r="D315" s="1853"/>
      <c r="E315" s="1853"/>
      <c r="F315" s="1845">
        <v>0.05</v>
      </c>
    </row>
    <row r="316" spans="1:6" ht="24.75" thickBot="1">
      <c r="A316" s="1847" t="s">
        <v>1408</v>
      </c>
      <c r="B316" s="1854" t="s">
        <v>2202</v>
      </c>
      <c r="C316" s="1850"/>
      <c r="D316" s="1850"/>
      <c r="E316" s="1850"/>
      <c r="F316" s="1855">
        <v>0.05</v>
      </c>
    </row>
    <row r="317" spans="1:6" ht="14.25" thickBot="1">
      <c r="A317" s="1839" t="s">
        <v>2203</v>
      </c>
      <c r="B317" s="1840" t="s">
        <v>2204</v>
      </c>
      <c r="C317" s="1841">
        <v>0.15</v>
      </c>
      <c r="D317" s="1841">
        <v>0.15</v>
      </c>
      <c r="E317" s="1841">
        <v>0.15</v>
      </c>
      <c r="F317" s="1842">
        <v>0.15</v>
      </c>
    </row>
    <row r="318" spans="1:6" ht="14.25" thickBot="1">
      <c r="A318" s="1839" t="s">
        <v>2203</v>
      </c>
      <c r="B318" s="1843" t="s">
        <v>2205</v>
      </c>
      <c r="C318" s="1844">
        <v>0.107</v>
      </c>
      <c r="D318" s="1844">
        <v>0.11</v>
      </c>
      <c r="E318" s="1844">
        <v>0.112</v>
      </c>
      <c r="F318" s="1852"/>
    </row>
    <row r="319" spans="1:6" ht="14.25" thickBot="1">
      <c r="A319" s="1839" t="s">
        <v>2203</v>
      </c>
      <c r="B319" s="1843" t="s">
        <v>2206</v>
      </c>
      <c r="C319" s="1844">
        <v>0.15</v>
      </c>
      <c r="D319" s="1844">
        <v>0.15</v>
      </c>
      <c r="E319" s="1844">
        <v>0.15</v>
      </c>
      <c r="F319" s="1845">
        <v>0.15</v>
      </c>
    </row>
    <row r="320" spans="1:6" ht="14.25" thickBot="1">
      <c r="A320" s="1839" t="s">
        <v>2203</v>
      </c>
      <c r="B320" s="1843" t="s">
        <v>1096</v>
      </c>
      <c r="C320" s="1844">
        <v>0.15</v>
      </c>
      <c r="D320" s="1844">
        <v>0.15</v>
      </c>
      <c r="E320" s="1844">
        <v>0.15</v>
      </c>
      <c r="F320" s="1852"/>
    </row>
    <row r="321" spans="1:6" ht="14.25" thickBot="1">
      <c r="A321" s="1839" t="s">
        <v>2203</v>
      </c>
      <c r="B321" s="1843" t="s">
        <v>2207</v>
      </c>
      <c r="C321" s="1844">
        <v>0.15</v>
      </c>
      <c r="D321" s="1844">
        <v>0.15</v>
      </c>
      <c r="E321" s="1844">
        <v>0.15</v>
      </c>
      <c r="F321" s="1852"/>
    </row>
    <row r="322" spans="1:6" ht="14.25" thickBot="1">
      <c r="A322" s="1839" t="s">
        <v>2203</v>
      </c>
      <c r="B322" s="1843" t="s">
        <v>2208</v>
      </c>
      <c r="C322" s="1844">
        <v>0.15</v>
      </c>
      <c r="D322" s="1844">
        <v>0.15</v>
      </c>
      <c r="E322" s="1844">
        <v>0.15</v>
      </c>
      <c r="F322" s="1845">
        <v>0.15</v>
      </c>
    </row>
    <row r="323" spans="1:6" ht="14.25" thickBot="1">
      <c r="A323" s="1839" t="s">
        <v>2203</v>
      </c>
      <c r="B323" s="1843" t="s">
        <v>2209</v>
      </c>
      <c r="C323" s="1844">
        <v>0.15</v>
      </c>
      <c r="D323" s="1844">
        <v>0.15</v>
      </c>
      <c r="E323" s="1844">
        <v>0.15</v>
      </c>
      <c r="F323" s="1852"/>
    </row>
    <row r="324" spans="1:6" ht="14.25" thickBot="1">
      <c r="A324" s="1839" t="s">
        <v>2203</v>
      </c>
      <c r="B324" s="1843" t="s">
        <v>2210</v>
      </c>
      <c r="C324" s="1844">
        <v>0.15</v>
      </c>
      <c r="D324" s="1844">
        <v>0.15</v>
      </c>
      <c r="E324" s="1844">
        <v>0.15</v>
      </c>
      <c r="F324" s="1852"/>
    </row>
    <row r="325" spans="1:6" ht="14.25" thickBot="1">
      <c r="A325" s="1839" t="s">
        <v>2203</v>
      </c>
      <c r="B325" s="1843" t="s">
        <v>2211</v>
      </c>
      <c r="C325" s="1844">
        <v>0.15</v>
      </c>
      <c r="D325" s="1844">
        <v>0.15</v>
      </c>
      <c r="E325" s="1844">
        <v>0.15</v>
      </c>
      <c r="F325" s="1845">
        <v>0.14699999999999999</v>
      </c>
    </row>
    <row r="326" spans="1:6" ht="14.25" thickBot="1">
      <c r="A326" s="1839" t="s">
        <v>2203</v>
      </c>
      <c r="B326" s="1843" t="s">
        <v>1165</v>
      </c>
      <c r="C326" s="1844">
        <v>0.15</v>
      </c>
      <c r="D326" s="1844">
        <v>0.15</v>
      </c>
      <c r="E326" s="1844">
        <v>0.15</v>
      </c>
      <c r="F326" s="1852"/>
    </row>
    <row r="327" spans="1:6" ht="14.25" thickBot="1">
      <c r="A327" s="1839" t="s">
        <v>2203</v>
      </c>
      <c r="B327" s="1843" t="s">
        <v>2212</v>
      </c>
      <c r="C327" s="1844">
        <v>0.15</v>
      </c>
      <c r="D327" s="1844">
        <v>0.15</v>
      </c>
      <c r="E327" s="1844">
        <v>0.15</v>
      </c>
      <c r="F327" s="1845">
        <v>0.15</v>
      </c>
    </row>
    <row r="328" spans="1:6" ht="14.25" thickBot="1">
      <c r="A328" s="1839" t="s">
        <v>2203</v>
      </c>
      <c r="B328" s="1843" t="s">
        <v>1185</v>
      </c>
      <c r="C328" s="1844">
        <v>0.15</v>
      </c>
      <c r="D328" s="1844">
        <v>0.15</v>
      </c>
      <c r="E328" s="1844">
        <v>0.15</v>
      </c>
      <c r="F328" s="1845">
        <v>0.14099999999999999</v>
      </c>
    </row>
    <row r="329" spans="1:6" ht="14.25" thickBot="1">
      <c r="A329" s="1839" t="s">
        <v>2203</v>
      </c>
      <c r="B329" s="1843" t="s">
        <v>1195</v>
      </c>
      <c r="C329" s="1844">
        <v>0.15</v>
      </c>
      <c r="D329" s="1844">
        <v>0.15</v>
      </c>
      <c r="E329" s="1844">
        <v>0.15</v>
      </c>
      <c r="F329" s="1845">
        <v>0.15</v>
      </c>
    </row>
    <row r="330" spans="1:6" ht="14.25" thickBot="1">
      <c r="A330" s="1839" t="s">
        <v>2203</v>
      </c>
      <c r="B330" s="1843" t="s">
        <v>1205</v>
      </c>
      <c r="C330" s="1844">
        <v>0.15</v>
      </c>
      <c r="D330" s="1844">
        <v>0.15</v>
      </c>
      <c r="E330" s="1844">
        <v>0.15</v>
      </c>
      <c r="F330" s="1852"/>
    </row>
    <row r="331" spans="1:6" ht="14.25" thickBot="1">
      <c r="A331" s="1839" t="s">
        <v>2203</v>
      </c>
      <c r="B331" s="1843" t="s">
        <v>2213</v>
      </c>
      <c r="C331" s="1844">
        <v>0.15</v>
      </c>
      <c r="D331" s="1844">
        <v>0.15</v>
      </c>
      <c r="E331" s="1844">
        <v>0.15</v>
      </c>
      <c r="F331" s="1845">
        <v>0.15</v>
      </c>
    </row>
    <row r="332" spans="1:6" ht="14.25" thickBot="1">
      <c r="A332" s="1839" t="s">
        <v>2203</v>
      </c>
      <c r="B332" s="1843" t="s">
        <v>1225</v>
      </c>
      <c r="C332" s="1844">
        <v>0.15</v>
      </c>
      <c r="D332" s="1844">
        <v>0.15</v>
      </c>
      <c r="E332" s="1844">
        <v>0.15</v>
      </c>
      <c r="F332" s="1845">
        <v>0.15</v>
      </c>
    </row>
    <row r="333" spans="1:6" ht="14.25" thickBot="1">
      <c r="A333" s="1839" t="s">
        <v>2203</v>
      </c>
      <c r="B333" s="1843" t="s">
        <v>2214</v>
      </c>
      <c r="C333" s="1844">
        <v>0.15</v>
      </c>
      <c r="D333" s="1844">
        <v>0.15</v>
      </c>
      <c r="E333" s="1844">
        <v>0.15</v>
      </c>
      <c r="F333" s="1845">
        <v>0.14099999999999999</v>
      </c>
    </row>
    <row r="334" spans="1:6" ht="14.25" thickBot="1">
      <c r="A334" s="1839" t="s">
        <v>2203</v>
      </c>
      <c r="B334" s="1843" t="s">
        <v>1245</v>
      </c>
      <c r="C334" s="1844">
        <v>0.15</v>
      </c>
      <c r="D334" s="1844">
        <v>0.15</v>
      </c>
      <c r="E334" s="1844">
        <v>0.15</v>
      </c>
      <c r="F334" s="1845">
        <v>0.15</v>
      </c>
    </row>
    <row r="335" spans="1:6" ht="14.25" thickBot="1">
      <c r="A335" s="1839" t="s">
        <v>2203</v>
      </c>
      <c r="B335" s="1843" t="s">
        <v>1255</v>
      </c>
      <c r="C335" s="1844">
        <v>0.15</v>
      </c>
      <c r="D335" s="1844">
        <v>0.15</v>
      </c>
      <c r="E335" s="1844">
        <v>0.15</v>
      </c>
      <c r="F335" s="1852"/>
    </row>
    <row r="336" spans="1:6" ht="14.25" thickBot="1">
      <c r="A336" s="1839" t="s">
        <v>2203</v>
      </c>
      <c r="B336" s="1843" t="s">
        <v>2215</v>
      </c>
      <c r="C336" s="1844">
        <v>0.15</v>
      </c>
      <c r="D336" s="1844">
        <v>0.15</v>
      </c>
      <c r="E336" s="1844">
        <v>0.15</v>
      </c>
      <c r="F336" s="1845">
        <v>0.11799999999999999</v>
      </c>
    </row>
    <row r="337" spans="1:6" ht="14.25" thickBot="1">
      <c r="A337" s="1847" t="s">
        <v>2203</v>
      </c>
      <c r="B337" s="1854" t="s">
        <v>1273</v>
      </c>
      <c r="C337" s="1850"/>
      <c r="D337" s="1850"/>
      <c r="E337" s="1850"/>
      <c r="F337" s="1855">
        <v>0.14299999999999999</v>
      </c>
    </row>
    <row r="338" spans="1:6" ht="14.25" thickBot="1">
      <c r="A338" s="1839" t="s">
        <v>2216</v>
      </c>
      <c r="B338" s="1840" t="s">
        <v>2217</v>
      </c>
      <c r="C338" s="1841">
        <v>0.15</v>
      </c>
      <c r="D338" s="1841">
        <v>0.15</v>
      </c>
      <c r="E338" s="1841">
        <v>0.15</v>
      </c>
      <c r="F338" s="1863"/>
    </row>
    <row r="339" spans="1:6" ht="14.25" thickBot="1">
      <c r="A339" s="1839" t="s">
        <v>2216</v>
      </c>
      <c r="B339" s="1843" t="s">
        <v>2218</v>
      </c>
      <c r="C339" s="1844">
        <v>0.15</v>
      </c>
      <c r="D339" s="1844">
        <v>0.15</v>
      </c>
      <c r="E339" s="1844">
        <v>0.15</v>
      </c>
      <c r="F339" s="1852"/>
    </row>
    <row r="340" spans="1:6" ht="14.25" thickBot="1">
      <c r="A340" s="1839" t="s">
        <v>2216</v>
      </c>
      <c r="B340" s="1843" t="s">
        <v>2219</v>
      </c>
      <c r="C340" s="1844">
        <v>0.15</v>
      </c>
      <c r="D340" s="1844">
        <v>0.15</v>
      </c>
      <c r="E340" s="1844">
        <v>0.15</v>
      </c>
      <c r="F340" s="1852"/>
    </row>
    <row r="341" spans="1:6" ht="14.25" thickBot="1">
      <c r="A341" s="1839" t="s">
        <v>2220</v>
      </c>
      <c r="B341" s="1843" t="s">
        <v>2221</v>
      </c>
      <c r="C341" s="1844">
        <v>0.15</v>
      </c>
      <c r="D341" s="1844">
        <v>0.15</v>
      </c>
      <c r="E341" s="1844">
        <v>0.15</v>
      </c>
      <c r="F341" s="1845">
        <v>0.15</v>
      </c>
    </row>
    <row r="342" spans="1:6" ht="14.25" thickBot="1">
      <c r="A342" s="1839" t="s">
        <v>2216</v>
      </c>
      <c r="B342" s="1843" t="s">
        <v>2222</v>
      </c>
      <c r="C342" s="1844">
        <v>0.15</v>
      </c>
      <c r="D342" s="1844">
        <v>0.15</v>
      </c>
      <c r="E342" s="1844">
        <v>0.15</v>
      </c>
      <c r="F342" s="1845">
        <v>0.15</v>
      </c>
    </row>
    <row r="343" spans="1:6" ht="14.25" thickBot="1">
      <c r="A343" s="1839" t="s">
        <v>2216</v>
      </c>
      <c r="B343" s="1843" t="s">
        <v>2223</v>
      </c>
      <c r="C343" s="1844">
        <v>0.15</v>
      </c>
      <c r="D343" s="1844">
        <v>0.15</v>
      </c>
      <c r="E343" s="1844">
        <v>0.15</v>
      </c>
      <c r="F343" s="1845">
        <v>0.15</v>
      </c>
    </row>
    <row r="344" spans="1:6" ht="14.25" thickBot="1">
      <c r="A344" s="1847" t="s">
        <v>2216</v>
      </c>
      <c r="B344" s="1854" t="s">
        <v>2224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7" t="s">
        <v>2561</v>
      </c>
      <c r="C1" s="3467"/>
      <c r="D1" s="3467"/>
      <c r="E1" s="3467"/>
      <c r="F1" s="3467"/>
      <c r="G1" s="3466" t="s">
        <v>2562</v>
      </c>
      <c r="H1" s="3466"/>
      <c r="I1" s="3466"/>
      <c r="J1" s="3466"/>
      <c r="K1" s="3466"/>
      <c r="L1" s="3466"/>
      <c r="N1" s="3466" t="s">
        <v>2563</v>
      </c>
      <c r="O1" s="3466"/>
      <c r="P1" s="3466"/>
      <c r="Q1" s="3466"/>
      <c r="R1" s="2617"/>
      <c r="S1" s="3466" t="s">
        <v>2564</v>
      </c>
      <c r="T1" s="3466"/>
      <c r="U1" s="3466"/>
      <c r="V1" s="3466"/>
      <c r="X1" s="3465" t="s">
        <v>2624</v>
      </c>
      <c r="Y1" s="3466"/>
      <c r="Z1" s="3466"/>
      <c r="AA1" s="3466"/>
      <c r="AB1" s="3466"/>
      <c r="AD1" s="3465" t="s">
        <v>2628</v>
      </c>
      <c r="AE1" s="3466"/>
      <c r="AF1" s="3466"/>
      <c r="AG1" s="3466"/>
      <c r="AH1" s="3466"/>
    </row>
    <row r="2" spans="1:34" s="2718" customFormat="1" ht="14.25" thickBot="1">
      <c r="B2" s="2726" t="s">
        <v>2565</v>
      </c>
      <c r="C2" s="2726" t="s">
        <v>2626</v>
      </c>
      <c r="D2" s="2719" t="s">
        <v>1633</v>
      </c>
      <c r="E2" s="2719" t="s">
        <v>1936</v>
      </c>
      <c r="F2" s="2726" t="s">
        <v>2627</v>
      </c>
      <c r="G2" s="2722"/>
      <c r="H2" s="2721"/>
      <c r="I2" s="2726" t="s">
        <v>2942</v>
      </c>
      <c r="J2" s="2719" t="s">
        <v>2944</v>
      </c>
      <c r="K2" s="2719" t="s">
        <v>2945</v>
      </c>
      <c r="L2" s="2726" t="s">
        <v>2946</v>
      </c>
      <c r="N2" s="2726" t="s">
        <v>2565</v>
      </c>
      <c r="O2" s="2719" t="s">
        <v>2943</v>
      </c>
      <c r="P2" s="2719" t="s">
        <v>1936</v>
      </c>
      <c r="Q2" s="2726" t="s">
        <v>2627</v>
      </c>
      <c r="R2" s="2720"/>
      <c r="S2" s="2726" t="s">
        <v>2565</v>
      </c>
      <c r="T2" s="2719" t="s">
        <v>2943</v>
      </c>
      <c r="U2" s="2719" t="s">
        <v>1936</v>
      </c>
      <c r="V2" s="2726" t="s">
        <v>2627</v>
      </c>
      <c r="X2" s="2726" t="s">
        <v>2565</v>
      </c>
      <c r="Y2" s="2726" t="s">
        <v>2626</v>
      </c>
      <c r="Z2" s="2719" t="s">
        <v>1633</v>
      </c>
      <c r="AA2" s="2719" t="s">
        <v>1936</v>
      </c>
      <c r="AB2" s="2726" t="s">
        <v>2627</v>
      </c>
      <c r="AD2" s="2726" t="s">
        <v>2565</v>
      </c>
      <c r="AE2" s="2726" t="s">
        <v>2626</v>
      </c>
      <c r="AF2" s="2719" t="s">
        <v>1633</v>
      </c>
      <c r="AG2" s="2719" t="s">
        <v>1936</v>
      </c>
      <c r="AH2" s="2726" t="s">
        <v>2627</v>
      </c>
    </row>
    <row r="3" spans="1:34" s="3076" customFormat="1" ht="14.25">
      <c r="A3" s="3088" t="s">
        <v>2955</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2985</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2956</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2984</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2980</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2979</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2976</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2975</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2972</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461">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2965</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61"/>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2966</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61"/>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2962</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62"/>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2953</v>
      </c>
      <c r="B15" s="3090">
        <v>439</v>
      </c>
      <c r="C15" s="3090">
        <v>327</v>
      </c>
      <c r="D15" s="3090">
        <f t="shared" si="98"/>
        <v>327</v>
      </c>
      <c r="E15" s="3090">
        <v>627</v>
      </c>
      <c r="F15" s="3091">
        <v>283</v>
      </c>
      <c r="G15" s="3460">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2957</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61"/>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2566</v>
      </c>
      <c r="B17" s="2631">
        <f t="shared" si="110"/>
        <v>419.31181600000002</v>
      </c>
      <c r="C17" s="2631">
        <f t="shared" si="110"/>
        <v>313.95436800000004</v>
      </c>
      <c r="D17" s="2631">
        <f t="shared" si="98"/>
        <v>313.95436800000004</v>
      </c>
      <c r="E17" s="2631">
        <f t="shared" si="111"/>
        <v>596.63028431999999</v>
      </c>
      <c r="F17" s="2631">
        <f t="shared" si="111"/>
        <v>274.74220703999998</v>
      </c>
      <c r="G17" s="3461"/>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2567</v>
      </c>
      <c r="B18" s="2631">
        <f t="shared" si="110"/>
        <v>405.524</v>
      </c>
      <c r="C18" s="2631">
        <f t="shared" si="110"/>
        <v>307.79840000000002</v>
      </c>
      <c r="D18" s="2631">
        <f t="shared" si="98"/>
        <v>307.79840000000002</v>
      </c>
      <c r="E18" s="2631">
        <f t="shared" si="111"/>
        <v>574.67759999999998</v>
      </c>
      <c r="F18" s="2631">
        <f t="shared" si="111"/>
        <v>270.20280000000002</v>
      </c>
      <c r="G18" s="3462"/>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959</v>
      </c>
      <c r="B19" s="2623">
        <v>392</v>
      </c>
      <c r="C19" s="2623">
        <v>302</v>
      </c>
      <c r="D19" s="2623">
        <f t="shared" si="98"/>
        <v>302</v>
      </c>
      <c r="E19" s="2623">
        <v>553</v>
      </c>
      <c r="F19" s="2624">
        <v>266</v>
      </c>
      <c r="G19" s="3460">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958</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61"/>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948</v>
      </c>
      <c r="B21" s="2631">
        <f t="shared" si="119"/>
        <v>360.06949782209392</v>
      </c>
      <c r="C21" s="2631">
        <f t="shared" si="119"/>
        <v>289.84672674747821</v>
      </c>
      <c r="D21" s="2631">
        <f t="shared" si="120"/>
        <v>289.84672674747821</v>
      </c>
      <c r="E21" s="2631">
        <f t="shared" si="121"/>
        <v>501.06543001181495</v>
      </c>
      <c r="F21" s="2631">
        <f t="shared" si="121"/>
        <v>256.82882500744967</v>
      </c>
      <c r="G21" s="3461"/>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957</v>
      </c>
      <c r="B22" s="2631">
        <f t="shared" si="119"/>
        <v>346.720748986128</v>
      </c>
      <c r="C22" s="2631">
        <f t="shared" si="119"/>
        <v>284.30282172386285</v>
      </c>
      <c r="D22" s="2631">
        <f t="shared" si="120"/>
        <v>284.30282172386285</v>
      </c>
      <c r="E22" s="2631">
        <f t="shared" si="121"/>
        <v>479.58023546306947</v>
      </c>
      <c r="F22" s="2631">
        <f t="shared" si="121"/>
        <v>253.25788877571213</v>
      </c>
      <c r="G22" s="3464"/>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956</v>
      </c>
      <c r="B23" s="2623">
        <v>333</v>
      </c>
      <c r="C23" s="2623">
        <v>277</v>
      </c>
      <c r="D23" s="2623">
        <f t="shared" si="120"/>
        <v>277</v>
      </c>
      <c r="E23" s="2623">
        <v>459</v>
      </c>
      <c r="F23" s="2624">
        <v>249</v>
      </c>
      <c r="G23" s="3463">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955</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61"/>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954</v>
      </c>
      <c r="B25" s="2631">
        <f t="shared" si="123"/>
        <v>322.34053690220776</v>
      </c>
      <c r="C25" s="2631">
        <f t="shared" si="123"/>
        <v>271.46160770422546</v>
      </c>
      <c r="D25" s="2631">
        <f t="shared" si="120"/>
        <v>271.46160770422546</v>
      </c>
      <c r="E25" s="2631">
        <f t="shared" si="124"/>
        <v>442.69434542172456</v>
      </c>
      <c r="F25" s="2631">
        <f t="shared" si="124"/>
        <v>241.34030753190925</v>
      </c>
      <c r="G25" s="3461"/>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953</v>
      </c>
      <c r="B26" s="2631">
        <f t="shared" si="123"/>
        <v>319.87748030386797</v>
      </c>
      <c r="C26" s="2631">
        <f t="shared" si="123"/>
        <v>269.60135833173649</v>
      </c>
      <c r="D26" s="2631">
        <f t="shared" si="120"/>
        <v>269.60135833173649</v>
      </c>
      <c r="E26" s="2631">
        <f t="shared" si="124"/>
        <v>439.18089823583784</v>
      </c>
      <c r="F26" s="2631">
        <f t="shared" si="124"/>
        <v>239.23503918706311</v>
      </c>
      <c r="G26" s="3464"/>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952</v>
      </c>
      <c r="B27" s="2645">
        <v>318</v>
      </c>
      <c r="C27" s="2645">
        <v>268</v>
      </c>
      <c r="D27" s="2645">
        <f t="shared" si="120"/>
        <v>268</v>
      </c>
      <c r="E27" s="2645">
        <v>437</v>
      </c>
      <c r="F27" s="2646">
        <v>237</v>
      </c>
      <c r="G27" s="3463">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951</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61"/>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950</v>
      </c>
      <c r="B29" s="2631">
        <f t="shared" si="125"/>
        <v>314.72141172386546</v>
      </c>
      <c r="C29" s="2631">
        <f t="shared" si="125"/>
        <v>263.03901319069001</v>
      </c>
      <c r="D29" s="2631">
        <f t="shared" si="120"/>
        <v>263.03901319069001</v>
      </c>
      <c r="E29" s="2631">
        <f t="shared" si="126"/>
        <v>433.65745506782821</v>
      </c>
      <c r="F29" s="2631">
        <f t="shared" si="126"/>
        <v>233.23005080045735</v>
      </c>
      <c r="G29" s="3461"/>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949</v>
      </c>
      <c r="B30" s="2650">
        <f t="shared" si="125"/>
        <v>307.34512863658733</v>
      </c>
      <c r="C30" s="2650">
        <f t="shared" si="125"/>
        <v>257.80556031626975</v>
      </c>
      <c r="D30" s="2650">
        <f t="shared" si="120"/>
        <v>257.80556031626975</v>
      </c>
      <c r="E30" s="2650">
        <f t="shared" si="126"/>
        <v>422.70928459677179</v>
      </c>
      <c r="F30" s="2650">
        <f t="shared" si="126"/>
        <v>229.73803270336617</v>
      </c>
      <c r="G30" s="3464"/>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2625</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2568</v>
      </c>
      <c r="B31" s="2623">
        <v>299</v>
      </c>
      <c r="C31" s="2623">
        <v>252</v>
      </c>
      <c r="D31" s="2623">
        <f t="shared" si="120"/>
        <v>252</v>
      </c>
      <c r="E31" s="2623">
        <v>409</v>
      </c>
      <c r="F31" s="2624">
        <v>227</v>
      </c>
      <c r="G31" s="3468">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2569</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69"/>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2570</v>
      </c>
      <c r="B33" s="2631">
        <f t="shared" si="129"/>
        <v>288.2649053828776</v>
      </c>
      <c r="C33" s="2631">
        <f t="shared" si="129"/>
        <v>243.64564425013293</v>
      </c>
      <c r="D33" s="2631">
        <f t="shared" si="120"/>
        <v>243.64564425013293</v>
      </c>
      <c r="E33" s="2631">
        <f t="shared" si="130"/>
        <v>393.31080825986544</v>
      </c>
      <c r="F33" s="2631">
        <f t="shared" si="130"/>
        <v>223.07903790551154</v>
      </c>
      <c r="G33" s="3469"/>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2571</v>
      </c>
      <c r="B34" s="2631">
        <f t="shared" si="129"/>
        <v>282.50186729015837</v>
      </c>
      <c r="C34" s="2631">
        <f t="shared" si="129"/>
        <v>238.09796174155468</v>
      </c>
      <c r="D34" s="2631">
        <f t="shared" si="120"/>
        <v>238.09796174155468</v>
      </c>
      <c r="E34" s="2631">
        <f t="shared" si="130"/>
        <v>385.33438646014054</v>
      </c>
      <c r="F34" s="2631">
        <f t="shared" si="130"/>
        <v>221.55034055567739</v>
      </c>
      <c r="G34" s="3470"/>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2572</v>
      </c>
      <c r="B35" s="2661">
        <v>278</v>
      </c>
      <c r="C35" s="2661">
        <v>234</v>
      </c>
      <c r="D35" s="2661">
        <f t="shared" si="120"/>
        <v>234</v>
      </c>
      <c r="E35" s="2661">
        <v>379</v>
      </c>
      <c r="F35" s="2662">
        <v>220</v>
      </c>
      <c r="G35" s="3463">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2573</v>
      </c>
      <c r="B36" s="2631">
        <f>B35/(1+N35)</f>
        <v>275.49301357645425</v>
      </c>
      <c r="C36" s="2631">
        <f>C35/(1+O35)</f>
        <v>232.41954707985698</v>
      </c>
      <c r="D36" s="2631">
        <f t="shared" si="120"/>
        <v>232.41954707985698</v>
      </c>
      <c r="E36" s="2631">
        <f t="shared" ref="E36:F38" si="131">E35/(1+P35)</f>
        <v>375.32184591008121</v>
      </c>
      <c r="F36" s="2631">
        <f t="shared" si="131"/>
        <v>218.03766105054513</v>
      </c>
      <c r="G36" s="3461"/>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2574</v>
      </c>
      <c r="B37" s="2631">
        <f>B36/(1+N36)</f>
        <v>275.24529281292263</v>
      </c>
      <c r="C37" s="2631">
        <f>C36/(1+O36)</f>
        <v>231.74747938962707</v>
      </c>
      <c r="D37" s="2631">
        <f t="shared" si="120"/>
        <v>231.74747938962707</v>
      </c>
      <c r="E37" s="2631">
        <f t="shared" si="131"/>
        <v>375.35938184826603</v>
      </c>
      <c r="F37" s="2631">
        <f t="shared" si="131"/>
        <v>216.78033510692495</v>
      </c>
      <c r="G37" s="3461"/>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2575</v>
      </c>
      <c r="B38" s="2631">
        <f>B37/(1+N37)</f>
        <v>275.19025476197027</v>
      </c>
      <c r="C38" s="2663">
        <v>232</v>
      </c>
      <c r="D38" s="2663">
        <f t="shared" si="120"/>
        <v>232</v>
      </c>
      <c r="E38" s="2631">
        <f t="shared" si="131"/>
        <v>375.65990977608692</v>
      </c>
      <c r="F38" s="2631">
        <f t="shared" si="131"/>
        <v>214.12518283971252</v>
      </c>
      <c r="G38" s="3464"/>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2576</v>
      </c>
      <c r="B39" s="2623">
        <v>275</v>
      </c>
      <c r="C39" s="2623">
        <v>232</v>
      </c>
      <c r="D39" s="2623">
        <f t="shared" si="120"/>
        <v>232</v>
      </c>
      <c r="E39" s="2623">
        <v>376</v>
      </c>
      <c r="F39" s="2624">
        <v>213</v>
      </c>
      <c r="G39" s="3463">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2577</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61">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2578</v>
      </c>
      <c r="B41" s="2631">
        <f t="shared" si="132"/>
        <v>275.19335084830601</v>
      </c>
      <c r="C41" s="2631">
        <f t="shared" si="132"/>
        <v>230.18088050139744</v>
      </c>
      <c r="D41" s="2631">
        <f t="shared" si="120"/>
        <v>230.18088050139744</v>
      </c>
      <c r="E41" s="2631">
        <f t="shared" si="133"/>
        <v>377.58482925212331</v>
      </c>
      <c r="F41" s="2631">
        <f t="shared" si="133"/>
        <v>210.90687997847917</v>
      </c>
      <c r="G41" s="3461">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2579</v>
      </c>
      <c r="B42" s="2631">
        <f t="shared" si="132"/>
        <v>276.29854502841971</v>
      </c>
      <c r="C42" s="2631">
        <f t="shared" si="132"/>
        <v>229.79023709833027</v>
      </c>
      <c r="D42" s="2631">
        <f t="shared" si="120"/>
        <v>229.79023709833027</v>
      </c>
      <c r="E42" s="2631">
        <f t="shared" si="133"/>
        <v>379.78759731655936</v>
      </c>
      <c r="F42" s="2631">
        <f t="shared" si="133"/>
        <v>211.32953905659235</v>
      </c>
      <c r="G42" s="3464">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2580</v>
      </c>
      <c r="B43" s="2623">
        <v>269</v>
      </c>
      <c r="C43" s="2623">
        <v>221</v>
      </c>
      <c r="D43" s="2623">
        <f t="shared" si="120"/>
        <v>221</v>
      </c>
      <c r="E43" s="2623">
        <v>373</v>
      </c>
      <c r="F43" s="2624">
        <v>196</v>
      </c>
      <c r="G43" s="3463">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2581</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61">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2582</v>
      </c>
      <c r="B45" s="2631">
        <f t="shared" si="134"/>
        <v>242.95398227588385</v>
      </c>
      <c r="C45" s="2631">
        <f t="shared" si="134"/>
        <v>199.59137053614126</v>
      </c>
      <c r="D45" s="2631">
        <f t="shared" si="120"/>
        <v>199.59137053614126</v>
      </c>
      <c r="E45" s="2631">
        <f t="shared" si="135"/>
        <v>335.92189522342125</v>
      </c>
      <c r="F45" s="2631">
        <f t="shared" si="135"/>
        <v>183.10139991109489</v>
      </c>
      <c r="G45" s="3461">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2583</v>
      </c>
      <c r="B46" s="2631">
        <f t="shared" si="134"/>
        <v>232.06990378821649</v>
      </c>
      <c r="C46" s="2631">
        <f t="shared" si="134"/>
        <v>192.74878854286936</v>
      </c>
      <c r="D46" s="2631">
        <f t="shared" si="120"/>
        <v>192.74878854286936</v>
      </c>
      <c r="E46" s="2631">
        <f t="shared" si="135"/>
        <v>319.71247284992984</v>
      </c>
      <c r="F46" s="2631">
        <f t="shared" si="135"/>
        <v>175.67053622862409</v>
      </c>
      <c r="G46" s="3464">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2584</v>
      </c>
      <c r="B47" s="2623">
        <v>220</v>
      </c>
      <c r="C47" s="2623">
        <v>187</v>
      </c>
      <c r="D47" s="2623">
        <f t="shared" si="120"/>
        <v>187</v>
      </c>
      <c r="E47" s="2623">
        <v>301</v>
      </c>
      <c r="F47" s="2624">
        <v>168</v>
      </c>
      <c r="G47" s="3463">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2585</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61">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2586</v>
      </c>
      <c r="B49" s="2631">
        <f t="shared" si="136"/>
        <v>210.630522469011</v>
      </c>
      <c r="C49" s="2631">
        <f t="shared" si="136"/>
        <v>181.69567812247232</v>
      </c>
      <c r="D49" s="2631">
        <f t="shared" si="120"/>
        <v>181.69567812247232</v>
      </c>
      <c r="E49" s="2631">
        <f t="shared" si="137"/>
        <v>286.13517466736738</v>
      </c>
      <c r="F49" s="2631">
        <f t="shared" si="137"/>
        <v>165.47535084591149</v>
      </c>
      <c r="G49" s="3461">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2587</v>
      </c>
      <c r="B50" s="2631">
        <f t="shared" si="136"/>
        <v>208.83454537875372</v>
      </c>
      <c r="C50" s="2631">
        <f t="shared" si="136"/>
        <v>183.77230517090351</v>
      </c>
      <c r="D50" s="2631">
        <f t="shared" si="120"/>
        <v>183.77230517090351</v>
      </c>
      <c r="E50" s="2631">
        <f t="shared" si="137"/>
        <v>281.10342338870947</v>
      </c>
      <c r="F50" s="2631">
        <f t="shared" si="137"/>
        <v>168.97309388942256</v>
      </c>
      <c r="G50" s="3464">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2588</v>
      </c>
      <c r="B51" s="2661">
        <v>214</v>
      </c>
      <c r="C51" s="2661">
        <v>188</v>
      </c>
      <c r="D51" s="2661">
        <f t="shared" si="120"/>
        <v>188</v>
      </c>
      <c r="E51" s="2661">
        <v>289</v>
      </c>
      <c r="F51" s="2662">
        <v>166</v>
      </c>
      <c r="G51" s="3463">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2589</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61">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2590</v>
      </c>
      <c r="B53" s="2631">
        <f t="shared" si="138"/>
        <v>206.31694671589116</v>
      </c>
      <c r="C53" s="2631">
        <f t="shared" si="138"/>
        <v>183.61041121036101</v>
      </c>
      <c r="D53" s="2631">
        <f t="shared" si="120"/>
        <v>183.61041121036101</v>
      </c>
      <c r="E53" s="2631">
        <f t="shared" si="139"/>
        <v>276.66850301795557</v>
      </c>
      <c r="F53" s="2631">
        <f t="shared" si="139"/>
        <v>165.1360938278614</v>
      </c>
      <c r="G53" s="3461">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2591</v>
      </c>
      <c r="B54" s="2664">
        <f t="shared" si="138"/>
        <v>196.62341248059772</v>
      </c>
      <c r="C54" s="2664">
        <f t="shared" si="138"/>
        <v>170.99125648199012</v>
      </c>
      <c r="D54" s="2664">
        <f t="shared" si="120"/>
        <v>170.99125648199012</v>
      </c>
      <c r="E54" s="2664">
        <f t="shared" si="139"/>
        <v>266.07857570490052</v>
      </c>
      <c r="F54" s="2664">
        <f t="shared" si="139"/>
        <v>154.53499328828505</v>
      </c>
      <c r="G54" s="3464">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2592</v>
      </c>
      <c r="B55" s="2623">
        <v>188</v>
      </c>
      <c r="C55" s="2623">
        <v>165</v>
      </c>
      <c r="D55" s="2623">
        <f t="shared" si="120"/>
        <v>165</v>
      </c>
      <c r="E55" s="2623">
        <v>254</v>
      </c>
      <c r="F55" s="2624">
        <v>148</v>
      </c>
      <c r="G55" s="3463">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2593</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61">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2594</v>
      </c>
      <c r="B57" s="2631">
        <f t="shared" si="142"/>
        <v>168.82017748715555</v>
      </c>
      <c r="C57" s="2631">
        <f t="shared" si="142"/>
        <v>148.06267029972753</v>
      </c>
      <c r="D57" s="2631">
        <f t="shared" si="120"/>
        <v>148.06267029972753</v>
      </c>
      <c r="E57" s="2631">
        <f t="shared" si="143"/>
        <v>216.46288379323747</v>
      </c>
      <c r="F57" s="2631">
        <f t="shared" si="143"/>
        <v>134.23529411764704</v>
      </c>
      <c r="G57" s="3461">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2595</v>
      </c>
      <c r="B58" s="2631">
        <f t="shared" si="142"/>
        <v>163.84913591779542</v>
      </c>
      <c r="C58" s="2631">
        <f t="shared" si="142"/>
        <v>145.0283378746594</v>
      </c>
      <c r="D58" s="2631">
        <f t="shared" si="120"/>
        <v>145.0283378746594</v>
      </c>
      <c r="E58" s="2631">
        <f t="shared" si="143"/>
        <v>204.95180722891567</v>
      </c>
      <c r="F58" s="2631">
        <f t="shared" si="143"/>
        <v>125.95920303605313</v>
      </c>
      <c r="G58" s="3464">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2596</v>
      </c>
      <c r="B59" s="2645">
        <v>159</v>
      </c>
      <c r="C59" s="2645">
        <v>141</v>
      </c>
      <c r="D59" s="2645">
        <f t="shared" si="120"/>
        <v>141</v>
      </c>
      <c r="E59" s="2645">
        <v>195</v>
      </c>
      <c r="F59" s="2646">
        <v>122</v>
      </c>
      <c r="G59" s="3463">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2597</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61">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2598</v>
      </c>
      <c r="B61" s="2631">
        <f t="shared" si="146"/>
        <v>146.57412060301507</v>
      </c>
      <c r="C61" s="2631">
        <f t="shared" si="146"/>
        <v>136.46831955922866</v>
      </c>
      <c r="D61" s="2631">
        <f t="shared" si="120"/>
        <v>136.46831955922866</v>
      </c>
      <c r="E61" s="2631">
        <f t="shared" si="147"/>
        <v>166.73864894795128</v>
      </c>
      <c r="F61" s="2631">
        <f t="shared" si="147"/>
        <v>115.05882352941177</v>
      </c>
      <c r="G61" s="3461">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2599</v>
      </c>
      <c r="B62" s="2631">
        <f t="shared" si="146"/>
        <v>144.04145728643215</v>
      </c>
      <c r="C62" s="2631">
        <f t="shared" si="146"/>
        <v>136.12396694214877</v>
      </c>
      <c r="D62" s="2631">
        <f t="shared" si="120"/>
        <v>136.12396694214877</v>
      </c>
      <c r="E62" s="2631">
        <f t="shared" si="147"/>
        <v>158.32225913621264</v>
      </c>
      <c r="F62" s="2631">
        <f t="shared" si="147"/>
        <v>114.04278074866311</v>
      </c>
      <c r="G62" s="3464">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2600</v>
      </c>
      <c r="B63" s="2645">
        <v>138</v>
      </c>
      <c r="C63" s="2645">
        <v>131</v>
      </c>
      <c r="D63" s="2645">
        <f t="shared" si="120"/>
        <v>131</v>
      </c>
      <c r="E63" s="2645">
        <v>155</v>
      </c>
      <c r="F63" s="2646">
        <v>114</v>
      </c>
      <c r="G63" s="3463">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2601</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61">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2602</v>
      </c>
      <c r="B65" s="2631">
        <f t="shared" si="150"/>
        <v>124.29032258064517</v>
      </c>
      <c r="C65" s="2631">
        <f t="shared" si="150"/>
        <v>123.8968609865471</v>
      </c>
      <c r="D65" s="2631">
        <f t="shared" si="120"/>
        <v>123.8968609865471</v>
      </c>
      <c r="E65" s="2631">
        <f t="shared" si="151"/>
        <v>138.00507614213197</v>
      </c>
      <c r="F65" s="2631">
        <f t="shared" si="151"/>
        <v>107.96106557377048</v>
      </c>
      <c r="G65" s="3461">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2603</v>
      </c>
      <c r="B66" s="2631">
        <f t="shared" si="150"/>
        <v>122.57204301075269</v>
      </c>
      <c r="C66" s="2631">
        <f t="shared" si="150"/>
        <v>123.4932735426009</v>
      </c>
      <c r="D66" s="2631">
        <f t="shared" si="120"/>
        <v>123.4932735426009</v>
      </c>
      <c r="E66" s="2631">
        <f t="shared" si="151"/>
        <v>129.82233502538071</v>
      </c>
      <c r="F66" s="2631">
        <f t="shared" si="151"/>
        <v>107.39446721311475</v>
      </c>
      <c r="G66" s="3464">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2604</v>
      </c>
      <c r="B67" s="2661">
        <v>121</v>
      </c>
      <c r="C67" s="2661">
        <v>122</v>
      </c>
      <c r="D67" s="2661">
        <f t="shared" si="120"/>
        <v>122</v>
      </c>
      <c r="E67" s="2661">
        <v>124</v>
      </c>
      <c r="F67" s="2662">
        <v>107</v>
      </c>
      <c r="G67" s="3463">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2605</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61">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2606</v>
      </c>
      <c r="B69" s="2631">
        <f t="shared" si="154"/>
        <v>116.99099099099099</v>
      </c>
      <c r="C69" s="2631">
        <f t="shared" si="154"/>
        <v>118.84848484848486</v>
      </c>
      <c r="D69" s="2631">
        <f t="shared" si="120"/>
        <v>118.84848484848486</v>
      </c>
      <c r="E69" s="2631">
        <f t="shared" si="155"/>
        <v>117.60960960960961</v>
      </c>
      <c r="F69" s="2631">
        <f t="shared" si="155"/>
        <v>104</v>
      </c>
      <c r="G69" s="3461">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2607</v>
      </c>
      <c r="B70" s="2664">
        <f t="shared" si="154"/>
        <v>112.48648648648648</v>
      </c>
      <c r="C70" s="2664">
        <f t="shared" si="154"/>
        <v>115.21212121212122</v>
      </c>
      <c r="D70" s="2664">
        <f t="shared" si="120"/>
        <v>115.21212121212122</v>
      </c>
      <c r="E70" s="2664">
        <f t="shared" si="155"/>
        <v>110.4024024024024</v>
      </c>
      <c r="F70" s="2664">
        <f t="shared" si="155"/>
        <v>104</v>
      </c>
      <c r="G70" s="3464">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2608</v>
      </c>
      <c r="B71" s="2682">
        <v>111</v>
      </c>
      <c r="C71" s="2682">
        <v>114</v>
      </c>
      <c r="D71" s="2682">
        <f t="shared" si="120"/>
        <v>114</v>
      </c>
      <c r="E71" s="2682">
        <v>108</v>
      </c>
      <c r="F71" s="2683">
        <v>104</v>
      </c>
      <c r="G71" s="3463">
        <v>2003</v>
      </c>
      <c r="H71" s="2672">
        <v>4</v>
      </c>
      <c r="I71" s="2684"/>
      <c r="J71" s="2684"/>
      <c r="K71" s="2684"/>
      <c r="L71" s="2684"/>
      <c r="N71" s="2685"/>
      <c r="O71" s="2684"/>
      <c r="P71" s="2684"/>
      <c r="Q71" s="2684"/>
      <c r="S71" s="2685"/>
      <c r="T71" s="2684"/>
      <c r="U71" s="2684"/>
      <c r="V71" s="2684"/>
      <c r="X71" s="2676"/>
      <c r="Y71" s="2676"/>
      <c r="Z71" s="2676"/>
    </row>
    <row r="72" spans="1:26">
      <c r="A72" s="2618" t="s">
        <v>2609</v>
      </c>
      <c r="B72" s="2686">
        <f t="shared" ref="B72:C74" si="156">B73+(B$71-B$75)/4</f>
        <v>109.75</v>
      </c>
      <c r="C72" s="2686">
        <f t="shared" si="156"/>
        <v>112.25</v>
      </c>
      <c r="D72" s="2686">
        <f t="shared" si="120"/>
        <v>112.25</v>
      </c>
      <c r="E72" s="2686">
        <f t="shared" ref="E72:F74" si="157">E73+(E$71-E$75)/4</f>
        <v>107.25</v>
      </c>
      <c r="F72" s="2686">
        <f t="shared" si="157"/>
        <v>103.5</v>
      </c>
      <c r="G72" s="3461">
        <v>2003</v>
      </c>
      <c r="H72" s="2642">
        <v>3</v>
      </c>
      <c r="I72" s="2684"/>
      <c r="J72" s="2684"/>
      <c r="K72" s="2684"/>
      <c r="L72" s="2684"/>
      <c r="X72" s="2676"/>
      <c r="Y72" s="2676"/>
      <c r="Z72" s="2676"/>
    </row>
    <row r="73" spans="1:26">
      <c r="A73" s="2618" t="s">
        <v>2610</v>
      </c>
      <c r="B73" s="2686">
        <f t="shared" si="156"/>
        <v>108.5</v>
      </c>
      <c r="C73" s="2686">
        <f t="shared" si="156"/>
        <v>110.5</v>
      </c>
      <c r="D73" s="2686">
        <f t="shared" si="120"/>
        <v>110.5</v>
      </c>
      <c r="E73" s="2686">
        <f t="shared" si="157"/>
        <v>106.5</v>
      </c>
      <c r="F73" s="2686">
        <f t="shared" si="157"/>
        <v>103</v>
      </c>
      <c r="G73" s="3461">
        <v>2003</v>
      </c>
      <c r="H73" s="2622">
        <v>2</v>
      </c>
      <c r="I73" s="2684"/>
      <c r="J73" s="2684"/>
      <c r="K73" s="2684"/>
      <c r="L73" s="2684"/>
      <c r="X73" s="2676"/>
      <c r="Y73" s="2676"/>
      <c r="Z73" s="2676"/>
    </row>
    <row r="74" spans="1:26" ht="13.5" thickBot="1">
      <c r="A74" s="2618" t="s">
        <v>2611</v>
      </c>
      <c r="B74" s="2686">
        <f t="shared" si="156"/>
        <v>107.25</v>
      </c>
      <c r="C74" s="2686">
        <f t="shared" si="156"/>
        <v>108.75</v>
      </c>
      <c r="D74" s="2686">
        <f t="shared" si="120"/>
        <v>108.75</v>
      </c>
      <c r="E74" s="2686">
        <f t="shared" si="157"/>
        <v>105.75</v>
      </c>
      <c r="F74" s="2686">
        <f t="shared" si="157"/>
        <v>102.5</v>
      </c>
      <c r="G74" s="3464">
        <v>2003</v>
      </c>
      <c r="H74" s="2687">
        <v>1</v>
      </c>
      <c r="I74" s="2684"/>
      <c r="J74" s="2684"/>
      <c r="K74" s="2684"/>
      <c r="L74" s="2684"/>
      <c r="S74" s="2626"/>
      <c r="T74" s="2627"/>
      <c r="U74" s="2627"/>
      <c r="X74" s="2676"/>
      <c r="Y74" s="2676"/>
      <c r="Z74" s="2676"/>
    </row>
    <row r="75" spans="1:26" ht="13.5" thickBot="1">
      <c r="A75" s="2618" t="s">
        <v>2612</v>
      </c>
      <c r="B75" s="2688">
        <v>106</v>
      </c>
      <c r="C75" s="2688">
        <v>107</v>
      </c>
      <c r="D75" s="2688">
        <f t="shared" si="120"/>
        <v>107</v>
      </c>
      <c r="E75" s="2688">
        <v>105</v>
      </c>
      <c r="F75" s="2689">
        <v>102</v>
      </c>
      <c r="G75" s="3463">
        <v>2002</v>
      </c>
      <c r="H75" s="2637">
        <v>4</v>
      </c>
      <c r="I75" s="2684"/>
      <c r="J75" s="2684"/>
      <c r="K75" s="2684"/>
      <c r="L75" s="2684"/>
      <c r="N75" s="2685"/>
      <c r="O75" s="2684"/>
      <c r="P75" s="2684"/>
      <c r="Q75" s="2684"/>
      <c r="S75" s="2685"/>
      <c r="T75" s="2684"/>
      <c r="U75" s="2684"/>
      <c r="V75" s="2684"/>
      <c r="X75" s="2676"/>
      <c r="Y75" s="2676"/>
      <c r="Z75" s="2676"/>
    </row>
    <row r="76" spans="1:26">
      <c r="A76" s="2618" t="s">
        <v>2613</v>
      </c>
      <c r="B76" s="2686">
        <f t="shared" ref="B76:C78" si="158">B77+(B$75-B$79)/4</f>
        <v>105</v>
      </c>
      <c r="C76" s="2686">
        <f t="shared" si="158"/>
        <v>106</v>
      </c>
      <c r="D76" s="2686">
        <f t="shared" si="120"/>
        <v>106</v>
      </c>
      <c r="E76" s="2686">
        <f t="shared" ref="E76:F78" si="159">E77+(E$75-E$79)/4</f>
        <v>104.5</v>
      </c>
      <c r="F76" s="2686">
        <f t="shared" si="159"/>
        <v>101.5</v>
      </c>
      <c r="G76" s="3461">
        <v>2002</v>
      </c>
      <c r="H76" s="2642">
        <v>3</v>
      </c>
      <c r="I76" s="2684"/>
      <c r="J76" s="2684"/>
      <c r="K76" s="2684"/>
      <c r="L76" s="2684"/>
      <c r="X76" s="2676"/>
      <c r="Y76" s="2676"/>
      <c r="Z76" s="2676"/>
    </row>
    <row r="77" spans="1:26">
      <c r="A77" s="2618" t="s">
        <v>2614</v>
      </c>
      <c r="B77" s="2686">
        <f t="shared" si="158"/>
        <v>104</v>
      </c>
      <c r="C77" s="2686">
        <f t="shared" si="158"/>
        <v>105</v>
      </c>
      <c r="D77" s="2686">
        <f t="shared" si="120"/>
        <v>105</v>
      </c>
      <c r="E77" s="2686">
        <f t="shared" si="159"/>
        <v>104</v>
      </c>
      <c r="F77" s="2686">
        <f t="shared" si="159"/>
        <v>101</v>
      </c>
      <c r="G77" s="3461">
        <v>2002</v>
      </c>
      <c r="H77" s="2622">
        <v>2</v>
      </c>
      <c r="I77" s="2684"/>
      <c r="J77" s="2684"/>
      <c r="K77" s="2684"/>
      <c r="L77" s="2684"/>
      <c r="X77" s="2676"/>
      <c r="Y77" s="2676"/>
      <c r="Z77" s="2676"/>
    </row>
    <row r="78" spans="1:26" s="2653" customFormat="1" ht="13.5" thickBot="1">
      <c r="A78" s="2649" t="s">
        <v>2615</v>
      </c>
      <c r="B78" s="2690">
        <f t="shared" si="158"/>
        <v>103</v>
      </c>
      <c r="C78" s="2690">
        <f t="shared" si="158"/>
        <v>104</v>
      </c>
      <c r="D78" s="2690">
        <f t="shared" si="120"/>
        <v>104</v>
      </c>
      <c r="E78" s="2690">
        <f t="shared" si="159"/>
        <v>103.5</v>
      </c>
      <c r="F78" s="2690">
        <f t="shared" si="159"/>
        <v>100.5</v>
      </c>
      <c r="G78" s="3464">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2616</v>
      </c>
      <c r="G81" s="2700"/>
      <c r="N81" s="2700"/>
      <c r="S81" s="2700"/>
    </row>
    <row r="82" spans="1:22" s="2699" customFormat="1">
      <c r="A82" s="2699" t="s">
        <v>2617</v>
      </c>
      <c r="G82" s="2700"/>
      <c r="N82" s="2700"/>
      <c r="S82" s="2700"/>
    </row>
    <row r="83" spans="1:22" s="2699" customFormat="1">
      <c r="A83" s="2699" t="s">
        <v>2618</v>
      </c>
      <c r="G83" s="2700"/>
      <c r="I83" s="2701"/>
      <c r="J83" s="2701"/>
      <c r="K83" s="2701"/>
      <c r="L83" s="2701"/>
      <c r="N83" s="2702"/>
      <c r="O83" s="2701"/>
      <c r="P83" s="2701"/>
      <c r="Q83" s="2701"/>
      <c r="S83" s="2702"/>
      <c r="T83" s="2701"/>
      <c r="U83" s="2701"/>
      <c r="V83" s="2701"/>
    </row>
    <row r="84" spans="1:22" s="2699" customFormat="1">
      <c r="A84" s="2699" t="s">
        <v>2619</v>
      </c>
      <c r="G84" s="2700"/>
      <c r="N84" s="2700"/>
      <c r="S84" s="2700"/>
    </row>
    <row r="91" spans="1:22" ht="13.5" thickBot="1"/>
    <row r="92" spans="1:22">
      <c r="G92" s="2625"/>
      <c r="S92" s="2703" t="s">
        <v>2620</v>
      </c>
      <c r="T92" s="2704" t="s">
        <v>2621</v>
      </c>
      <c r="U92" s="2704" t="s">
        <v>2622</v>
      </c>
      <c r="V92" s="2704" t="s">
        <v>2623</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2935</v>
      </c>
      <c r="B1" s="3050"/>
      <c r="C1" s="3050"/>
      <c r="D1" s="3050"/>
      <c r="E1" s="3050"/>
      <c r="F1" s="3050"/>
    </row>
    <row r="2" spans="1:6" ht="14.25">
      <c r="A2" s="3051" t="s">
        <v>2930</v>
      </c>
      <c r="B2" s="3052" t="e">
        <f ca="1">SUMIF(B7:B14,"&lt;&gt;#ref!",B7:B14)</f>
        <v>#DIV/0!</v>
      </c>
      <c r="C2" s="3051" t="s">
        <v>2931</v>
      </c>
      <c r="D2" s="3050"/>
      <c r="E2" s="3050"/>
      <c r="F2" s="3050"/>
    </row>
    <row r="3" spans="1:6" ht="14.25">
      <c r="A3" s="3051" t="s">
        <v>2963</v>
      </c>
      <c r="B3" s="3052" t="e">
        <f ca="1">ROUND(B2*10000/E3,0)</f>
        <v>#DIV/0!</v>
      </c>
      <c r="C3" s="3051" t="s">
        <v>2065</v>
      </c>
      <c r="D3" s="3051" t="s">
        <v>2932</v>
      </c>
      <c r="E3" s="3052">
        <f ca="1">SUMIF(E7:E14,"&lt;&gt;#ref!",E7:E14)</f>
        <v>0</v>
      </c>
      <c r="F3" s="3050"/>
    </row>
    <row r="4" spans="1:6" ht="14.25">
      <c r="A4" s="3051" t="s">
        <v>2939</v>
      </c>
      <c r="B4" s="3052" t="e">
        <f ca="1">ROUND(B2*10000/E4,0)</f>
        <v>#DIV/0!</v>
      </c>
      <c r="C4" s="3051" t="s">
        <v>2065</v>
      </c>
      <c r="D4" s="3051" t="s">
        <v>2940</v>
      </c>
      <c r="E4" s="3052">
        <f ca="1">SUMIF(F7:F14,"&lt;&gt;#ref!",F7:F14)</f>
        <v>0</v>
      </c>
      <c r="F4" s="3050"/>
    </row>
    <row r="5" spans="1:6" ht="14.25">
      <c r="A5" s="3053"/>
      <c r="B5" s="1865"/>
      <c r="C5" s="1865"/>
      <c r="D5" s="1865"/>
      <c r="E5" s="1865"/>
      <c r="F5" s="3050"/>
    </row>
    <row r="6" spans="1:6" ht="28.5">
      <c r="A6" s="3054" t="s">
        <v>2936</v>
      </c>
      <c r="B6" s="3051" t="s">
        <v>2933</v>
      </c>
      <c r="C6" s="3052"/>
      <c r="D6" s="1865"/>
      <c r="E6" s="3051" t="s">
        <v>2934</v>
      </c>
      <c r="F6" s="3051" t="s">
        <v>2938</v>
      </c>
    </row>
    <row r="7" spans="1:6" ht="14.25">
      <c r="A7" s="260" t="s">
        <v>2937</v>
      </c>
      <c r="B7" s="3055" t="e">
        <f ca="1">SUMIF(INDIRECT("'"&amp;A7&amp;"'"&amp;"!A:A"),"总价",INDIRECT("'"&amp;A7&amp;"'"&amp;"!B:B"))</f>
        <v>#DIV/0!</v>
      </c>
      <c r="C7" s="3051" t="s">
        <v>2931</v>
      </c>
      <c r="D7" s="1865"/>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2931</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2931</v>
      </c>
      <c r="D9" s="1865"/>
      <c r="E9" s="3056" t="e">
        <f t="shared" ca="1" si="1"/>
        <v>#REF!</v>
      </c>
      <c r="F9" s="3056" t="e">
        <f t="shared" ca="1" si="2"/>
        <v>#REF!</v>
      </c>
    </row>
    <row r="10" spans="1:6" ht="14.25">
      <c r="A10" s="260"/>
      <c r="B10" s="3055" t="e">
        <f t="shared" ca="1" si="0"/>
        <v>#REF!</v>
      </c>
      <c r="C10" s="3051" t="s">
        <v>2931</v>
      </c>
      <c r="D10" s="1865"/>
      <c r="E10" s="3056" t="e">
        <f t="shared" ca="1" si="1"/>
        <v>#REF!</v>
      </c>
      <c r="F10" s="3056" t="e">
        <f t="shared" ca="1" si="2"/>
        <v>#REF!</v>
      </c>
    </row>
    <row r="11" spans="1:6" ht="14.25">
      <c r="A11" s="260"/>
      <c r="B11" s="3055" t="e">
        <f t="shared" ca="1" si="0"/>
        <v>#REF!</v>
      </c>
      <c r="C11" s="3051" t="s">
        <v>2931</v>
      </c>
      <c r="D11" s="1865"/>
      <c r="E11" s="3056" t="e">
        <f t="shared" ca="1" si="1"/>
        <v>#REF!</v>
      </c>
      <c r="F11" s="3056" t="e">
        <f t="shared" ca="1" si="2"/>
        <v>#REF!</v>
      </c>
    </row>
    <row r="12" spans="1:6" ht="14.25">
      <c r="A12" s="260"/>
      <c r="B12" s="3055" t="e">
        <f t="shared" ca="1" si="0"/>
        <v>#REF!</v>
      </c>
      <c r="C12" s="3051" t="s">
        <v>2931</v>
      </c>
      <c r="D12" s="1865"/>
      <c r="E12" s="3056" t="e">
        <f t="shared" ca="1" si="1"/>
        <v>#REF!</v>
      </c>
      <c r="F12" s="3056" t="e">
        <f t="shared" ca="1" si="2"/>
        <v>#REF!</v>
      </c>
    </row>
    <row r="13" spans="1:6" ht="14.25">
      <c r="A13" s="260"/>
      <c r="B13" s="3055" t="e">
        <f t="shared" ca="1" si="0"/>
        <v>#REF!</v>
      </c>
      <c r="C13" s="3051" t="s">
        <v>2931</v>
      </c>
      <c r="D13" s="1865"/>
      <c r="E13" s="3056" t="e">
        <f t="shared" ca="1" si="1"/>
        <v>#REF!</v>
      </c>
      <c r="F13" s="3056" t="e">
        <f t="shared" ca="1" si="2"/>
        <v>#REF!</v>
      </c>
    </row>
    <row r="14" spans="1:6" ht="14.25">
      <c r="A14" s="3049"/>
      <c r="B14" s="3055" t="e">
        <f t="shared" ca="1" si="0"/>
        <v>#REF!</v>
      </c>
      <c r="C14" s="3051" t="s">
        <v>2931</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1893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1894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86744.76平方米。根据《建设工程规划许可证》[]、《出让合同》[]，估价对象规划建筑面积为245924.74平方米。</v>
      </c>
    </row>
    <row r="7" spans="1:4" ht="56.25">
      <c r="A7" s="1779" t="s">
        <v>2732</v>
      </c>
    </row>
    <row r="8" spans="1:4" ht="18.75">
      <c r="A8" s="1778" t="s">
        <v>1895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2013</v>
      </c>
    </row>
    <row r="11" spans="1:4" ht="18.75">
      <c r="A11" s="1764" t="str">
        <f>TEXT(项目基本情况!D3,"yyyy年m月d日;;")&amp;IF(项目基本情况!B3=项目基本情况!D3,"（评估专业人员勘察现场之日）","")</f>
        <v>2020年6月16日</v>
      </c>
    </row>
    <row r="12" spans="1:4" ht="18.75">
      <c r="A12" s="1781" t="s">
        <v>2012</v>
      </c>
    </row>
    <row r="13" spans="1:4" ht="18.75">
      <c r="A13" s="1775" t="s">
        <v>2928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2059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根据《国有土地使用证》[]，估价对象（分摊）出让国有建设用地使用权面积为86744.76平方米。根据《建设工程规划许可证》[]、《出让合同》[]，估价对象规划建筑面积为245924.74平方米。</v>
      </c>
    </row>
    <row r="21" spans="1:1" ht="18.75">
      <c r="A21" s="1775" t="s">
        <v>2061</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21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2062</v>
      </c>
    </row>
    <row r="25" spans="1:1" ht="75">
      <c r="A25" s="1775" t="str">
        <f>定义!C53</f>
        <v>本次估价的“出让国有建设用地使用权价格”是指在估价对象土地所有权为国家所有，使用权性质为出让，在公开市场条件下、于估价期日2020年6月16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2014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619</v>
      </c>
      <c r="B1" s="738"/>
      <c r="C1" s="773"/>
      <c r="D1" s="2034"/>
      <c r="E1" s="2350" t="s">
        <v>2360</v>
      </c>
      <c r="F1" s="2351">
        <f ca="1">J54</f>
        <v>-2</v>
      </c>
      <c r="G1" s="774">
        <f>MATCH(C1,'数据-取费表'!A6:A16,0)+5</f>
        <v>12</v>
      </c>
      <c r="H1" s="1345"/>
      <c r="I1" s="2035"/>
      <c r="J1" s="2035"/>
      <c r="K1" s="2036"/>
      <c r="L1" s="2035"/>
      <c r="M1" s="2035"/>
      <c r="N1" s="2037"/>
      <c r="O1" s="2037"/>
      <c r="P1" s="2037"/>
      <c r="Q1" s="2037"/>
      <c r="R1" s="2037"/>
      <c r="S1" s="2037"/>
      <c r="T1" s="2037"/>
      <c r="U1" s="2037"/>
      <c r="V1" s="2037"/>
      <c r="W1" s="2037"/>
      <c r="X1" s="2037"/>
      <c r="Y1" s="2037"/>
    </row>
    <row r="2" spans="1:25" ht="18" customHeight="1">
      <c r="A2" s="1628" t="s">
        <v>620</v>
      </c>
      <c r="B2" s="775">
        <f ca="1">IF(ISERROR(C45+J31),0,C45+J31)</f>
        <v>0</v>
      </c>
      <c r="C2" s="1346"/>
      <c r="D2" s="2039"/>
      <c r="E2" s="2040"/>
      <c r="F2" s="2040"/>
      <c r="G2" s="1575"/>
      <c r="H2" s="1358"/>
      <c r="I2" s="2041"/>
      <c r="J2" s="2041"/>
      <c r="K2" s="2042"/>
      <c r="L2" s="2041"/>
      <c r="M2" s="2041"/>
    </row>
    <row r="3" spans="1:25" ht="18" customHeight="1">
      <c r="A3" s="1629" t="s">
        <v>1675</v>
      </c>
      <c r="B3" s="1386">
        <f ca="1">ROUND(B2*10000/'数据-汇总表'!E3,0)</f>
        <v>0</v>
      </c>
      <c r="C3" s="1346"/>
      <c r="D3" s="2039"/>
      <c r="E3" s="2040"/>
      <c r="F3" s="2040"/>
      <c r="G3" s="1575"/>
      <c r="H3" s="776" t="s">
        <v>686</v>
      </c>
      <c r="I3" s="2041"/>
      <c r="J3" s="2041"/>
      <c r="K3" s="2042"/>
      <c r="L3" s="2041"/>
      <c r="M3" s="2041"/>
    </row>
    <row r="4" spans="1:25" ht="18" customHeight="1">
      <c r="A4" s="1630" t="s">
        <v>687</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688</v>
      </c>
      <c r="D5" s="2039"/>
      <c r="E5" s="2040"/>
      <c r="F5" s="2040"/>
      <c r="G5" s="1575"/>
      <c r="H5" s="776"/>
      <c r="I5" s="2041"/>
      <c r="J5" s="2041"/>
      <c r="K5" s="2042"/>
      <c r="L5" s="2041"/>
      <c r="M5" s="2041"/>
    </row>
    <row r="6" spans="1:25" ht="18" customHeight="1">
      <c r="A6" s="1812" t="s">
        <v>689</v>
      </c>
      <c r="B6" s="1804" t="s">
        <v>690</v>
      </c>
      <c r="C6" s="1804" t="s">
        <v>623</v>
      </c>
      <c r="D6" s="1804" t="s">
        <v>624</v>
      </c>
      <c r="E6" s="779" t="s">
        <v>625</v>
      </c>
      <c r="F6" s="780"/>
      <c r="G6" s="1577"/>
      <c r="H6" s="1812" t="s">
        <v>621</v>
      </c>
      <c r="I6" s="1804" t="s">
        <v>622</v>
      </c>
      <c r="J6" s="1804" t="s">
        <v>623</v>
      </c>
      <c r="K6" s="1804" t="s">
        <v>624</v>
      </c>
      <c r="L6" s="779" t="s">
        <v>625</v>
      </c>
      <c r="M6" s="780"/>
    </row>
    <row r="7" spans="1:25" ht="18" customHeight="1">
      <c r="A7" s="781">
        <v>1</v>
      </c>
      <c r="B7" s="782" t="s">
        <v>2444</v>
      </c>
      <c r="C7" s="53">
        <f ca="1">C8+C12+C14</f>
        <v>0</v>
      </c>
      <c r="D7" s="2459" t="s">
        <v>2447</v>
      </c>
      <c r="E7" s="2453"/>
      <c r="F7" s="2454"/>
      <c r="G7" s="1577"/>
      <c r="H7" s="781">
        <v>1</v>
      </c>
      <c r="I7" s="782" t="s">
        <v>2444</v>
      </c>
      <c r="J7" s="53">
        <f ca="1">J8+J12+J14</f>
        <v>0</v>
      </c>
      <c r="K7" s="2459" t="s">
        <v>2447</v>
      </c>
      <c r="L7" s="2453"/>
      <c r="M7" s="2454"/>
    </row>
    <row r="8" spans="1:25" ht="18" customHeight="1">
      <c r="A8" s="1814" t="s">
        <v>1813</v>
      </c>
      <c r="B8" s="3472" t="s">
        <v>2449</v>
      </c>
      <c r="C8" s="1809">
        <f ca="1">ROUND(F8*F10*F9*(1-F11)/10000,0)</f>
        <v>0</v>
      </c>
      <c r="D8" s="1806" t="s">
        <v>2520</v>
      </c>
      <c r="E8" s="61" t="s">
        <v>628</v>
      </c>
      <c r="F8" s="785">
        <f ca="1">INDIRECT("'数据-取费表'!u"&amp;$G$1)</f>
        <v>0</v>
      </c>
      <c r="G8" s="1577"/>
      <c r="H8" s="2467" t="s">
        <v>1813</v>
      </c>
      <c r="I8" s="3472" t="s">
        <v>2449</v>
      </c>
      <c r="J8" s="783">
        <f ca="1">ROUND(M8*M10*M9*(1-M11)/10000,0)</f>
        <v>0</v>
      </c>
      <c r="K8" s="341" t="s">
        <v>2520</v>
      </c>
      <c r="L8" s="784" t="s">
        <v>1727</v>
      </c>
      <c r="M8" s="785">
        <f ca="1">INDIRECT("'数据-取费表'!z"&amp;$G$1)</f>
        <v>0</v>
      </c>
    </row>
    <row r="9" spans="1:25" ht="18" customHeight="1">
      <c r="A9" s="2463"/>
      <c r="B9" s="3473"/>
      <c r="C9" s="1810"/>
      <c r="D9" s="1807"/>
      <c r="E9" s="61" t="s">
        <v>629</v>
      </c>
      <c r="F9" s="785">
        <f ca="1">IF(INDIRECT("'数据-取费表'!ah"&amp;$G$1)="",INDIRECT("'数据-取费表'!k"&amp;$G$1),INDIRECT("'数据-取费表'!ah"&amp;$G$1))</f>
        <v>0</v>
      </c>
      <c r="G9" s="1577"/>
      <c r="H9" s="2452"/>
      <c r="I9" s="3473"/>
      <c r="J9" s="788"/>
      <c r="K9" s="789"/>
      <c r="L9" s="784" t="s">
        <v>1728</v>
      </c>
      <c r="M9" s="785">
        <f ca="1">F9</f>
        <v>0</v>
      </c>
    </row>
    <row r="10" spans="1:25" ht="18" customHeight="1">
      <c r="A10" s="2456"/>
      <c r="B10" s="3474"/>
      <c r="C10" s="1810"/>
      <c r="D10" s="1807"/>
      <c r="E10" s="61" t="s">
        <v>630</v>
      </c>
      <c r="F10" s="785">
        <f ca="1">INDIRECT("'数据-取费表'!ai"&amp;$G$1)</f>
        <v>0</v>
      </c>
      <c r="G10" s="1577"/>
      <c r="H10" s="2452"/>
      <c r="I10" s="3474"/>
      <c r="J10" s="788"/>
      <c r="K10" s="789"/>
      <c r="L10" s="784" t="s">
        <v>1729</v>
      </c>
      <c r="M10" s="785">
        <f ca="1">INDIRECT("'数据-取费表'!ai"&amp;$G$1)</f>
        <v>0</v>
      </c>
    </row>
    <row r="11" spans="1:25" ht="18" customHeight="1">
      <c r="A11" s="786"/>
      <c r="B11" s="3475"/>
      <c r="C11" s="1810"/>
      <c r="D11" s="1807"/>
      <c r="E11" s="61" t="s">
        <v>631</v>
      </c>
      <c r="F11" s="794">
        <f ca="1">INDIRECT("'数据-取费表'!w"&amp;$G$1)</f>
        <v>0</v>
      </c>
      <c r="G11" s="1577"/>
      <c r="H11" s="2468"/>
      <c r="I11" s="3474"/>
      <c r="J11" s="788"/>
      <c r="K11" s="789"/>
      <c r="L11" s="795" t="s">
        <v>1730</v>
      </c>
      <c r="M11" s="796">
        <f ca="1">INDIRECT("'数据-取费表'!ab"&amp;$G$1)</f>
        <v>0</v>
      </c>
    </row>
    <row r="12" spans="1:25" ht="18" customHeight="1">
      <c r="A12" s="1814" t="s">
        <v>1814</v>
      </c>
      <c r="B12" s="2457" t="s">
        <v>2445</v>
      </c>
      <c r="C12" s="799">
        <f ca="1">ROUND(IF(F12="押一",C8/12*F13,IF(F12="押二",C8/12*2*F13,IF(F12="押三",C8/12*3*F13,C13*F13))),0)</f>
        <v>0</v>
      </c>
      <c r="D12" s="2464" t="s">
        <v>2960</v>
      </c>
      <c r="E12" s="2461" t="s">
        <v>2450</v>
      </c>
      <c r="F12" s="2584"/>
      <c r="G12" s="1577"/>
      <c r="H12" s="2524" t="s">
        <v>1814</v>
      </c>
      <c r="I12" s="2529" t="s">
        <v>2445</v>
      </c>
      <c r="J12" s="783">
        <f ca="1">ROUND(IF(M12="押一",J8/12*M13,IF(M12="押二",J8/12*2*M13,IF(M12="押三",J8/12*3*M13,J13*M13))),0)</f>
        <v>0</v>
      </c>
      <c r="K12" s="2464" t="s">
        <v>2960</v>
      </c>
      <c r="L12" s="2461" t="s">
        <v>2450</v>
      </c>
      <c r="M12" s="2584"/>
    </row>
    <row r="13" spans="1:25" ht="18" customHeight="1">
      <c r="A13" s="790"/>
      <c r="B13" s="2458" t="s">
        <v>2559</v>
      </c>
      <c r="C13" s="2462"/>
      <c r="D13" s="789"/>
      <c r="E13" s="2461" t="s">
        <v>2442</v>
      </c>
      <c r="F13" s="796">
        <f ca="1">'数据-取费表'!B39</f>
        <v>1.4999999999999999E-2</v>
      </c>
      <c r="G13" s="1577"/>
      <c r="H13" s="2525"/>
      <c r="I13" s="2458" t="s">
        <v>2559</v>
      </c>
      <c r="J13" s="2462"/>
      <c r="K13" s="2526"/>
      <c r="L13" s="2461" t="s">
        <v>2442</v>
      </c>
      <c r="M13" s="2455">
        <f ca="1">'数据-取费表'!B39</f>
        <v>1.4999999999999999E-2</v>
      </c>
    </row>
    <row r="14" spans="1:25" ht="18" customHeight="1" thickBot="1">
      <c r="A14" s="2500" t="s">
        <v>2453</v>
      </c>
      <c r="B14" s="2501" t="s">
        <v>2446</v>
      </c>
      <c r="C14" s="2502"/>
      <c r="D14" s="2503"/>
      <c r="E14" s="2504"/>
      <c r="F14" s="2505"/>
      <c r="G14" s="1577"/>
      <c r="H14" s="2514" t="s">
        <v>2453</v>
      </c>
      <c r="I14" s="2527" t="s">
        <v>2446</v>
      </c>
      <c r="J14" s="2528"/>
      <c r="K14" s="2503"/>
      <c r="L14" s="2504"/>
      <c r="M14" s="2517"/>
    </row>
    <row r="15" spans="1:25" ht="18" customHeight="1" thickTop="1">
      <c r="A15" s="1813" t="s">
        <v>1863</v>
      </c>
      <c r="B15" s="1811" t="s">
        <v>632</v>
      </c>
      <c r="C15" s="792">
        <f ca="1">ROUND(C31*F15,0)</f>
        <v>0</v>
      </c>
      <c r="D15" s="1818" t="s">
        <v>633</v>
      </c>
      <c r="E15" s="795" t="s">
        <v>634</v>
      </c>
      <c r="F15" s="800">
        <f ca="1">INDIRECT("'数据-取费表'!y"&amp;$G$1)</f>
        <v>0</v>
      </c>
      <c r="G15" s="1577"/>
      <c r="H15" s="1813" t="s">
        <v>1815</v>
      </c>
      <c r="I15" s="1811" t="s">
        <v>635</v>
      </c>
      <c r="J15" s="1803">
        <f ca="1">ROUND(J16*J17,0)</f>
        <v>0</v>
      </c>
      <c r="K15" s="1805" t="s">
        <v>633</v>
      </c>
      <c r="L15" s="801"/>
      <c r="M15" s="802"/>
    </row>
    <row r="16" spans="1:25" ht="18" customHeight="1">
      <c r="A16" s="803" t="s">
        <v>1864</v>
      </c>
      <c r="B16" s="784" t="s">
        <v>636</v>
      </c>
      <c r="C16" s="804">
        <f ca="1">INDIRECT("'数据-取费表'!m"&amp;$G$1)+INDIRECT("'数据-取费表'!t"&amp;$G$1)</f>
        <v>0</v>
      </c>
      <c r="D16" s="1963" t="s">
        <v>637</v>
      </c>
      <c r="E16" s="1964"/>
      <c r="F16" s="805"/>
      <c r="G16" s="1577"/>
      <c r="H16" s="803" t="s">
        <v>2056</v>
      </c>
      <c r="I16" s="2215" t="s">
        <v>2810</v>
      </c>
      <c r="J16" s="53">
        <f ca="1">C31</f>
        <v>0</v>
      </c>
      <c r="K16" s="26"/>
      <c r="L16" s="801"/>
      <c r="M16" s="802"/>
    </row>
    <row r="17" spans="1:25" s="2048" customFormat="1" ht="18" customHeight="1">
      <c r="A17" s="803" t="s">
        <v>1838</v>
      </c>
      <c r="B17" s="784" t="s">
        <v>638</v>
      </c>
      <c r="C17" s="53">
        <f ca="1">ROUND(C16*F17,0)</f>
        <v>0</v>
      </c>
      <c r="D17" s="806" t="s">
        <v>639</v>
      </c>
      <c r="E17" s="806" t="s">
        <v>640</v>
      </c>
      <c r="F17" s="807">
        <f>'数据-取费表'!B33</f>
        <v>0.03</v>
      </c>
      <c r="G17" s="1578"/>
      <c r="H17" s="803" t="s">
        <v>2057</v>
      </c>
      <c r="I17" s="784" t="s">
        <v>634</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1839</v>
      </c>
      <c r="B18" s="784" t="s">
        <v>641</v>
      </c>
      <c r="C18" s="53">
        <f ca="1">ROUND(INDIRECT("'数据-取费表'!m"&amp;$G$1)*F18,0)</f>
        <v>0</v>
      </c>
      <c r="D18" s="784" t="s">
        <v>639</v>
      </c>
      <c r="E18" s="784" t="s">
        <v>640</v>
      </c>
      <c r="F18" s="809">
        <f ca="1">IF(INDIRECT("'数据-取费表'!c"&amp;$G$1)="住宅",'数据-取费表'!B34,0)</f>
        <v>0</v>
      </c>
      <c r="G18" s="1577"/>
      <c r="H18" s="797" t="s">
        <v>1816</v>
      </c>
      <c r="I18" s="798" t="s">
        <v>642</v>
      </c>
      <c r="J18" s="799">
        <f ca="1">ROUND(J19+J24+J25+J26,0)</f>
        <v>0</v>
      </c>
      <c r="K18" s="26" t="s">
        <v>643</v>
      </c>
      <c r="L18" s="1966"/>
      <c r="M18" s="56"/>
    </row>
    <row r="19" spans="1:25" s="2048" customFormat="1" ht="18" customHeight="1">
      <c r="A19" s="803" t="s">
        <v>1840</v>
      </c>
      <c r="B19" s="784" t="s">
        <v>644</v>
      </c>
      <c r="C19" s="53">
        <f ca="1">ROUND(F19*(INDIRECT("'数据-取费表'!k"&amp;$G$1)+INDIRECT("'数据-取费表'!S"&amp;$G$1))/10000,0)</f>
        <v>0</v>
      </c>
      <c r="D19" s="784" t="s">
        <v>645</v>
      </c>
      <c r="E19" s="784" t="s">
        <v>646</v>
      </c>
      <c r="F19" s="56">
        <f>'数据-取费表'!B35</f>
        <v>200</v>
      </c>
      <c r="G19" s="1578"/>
      <c r="H19" s="803" t="s">
        <v>2056</v>
      </c>
      <c r="I19" s="784" t="s">
        <v>647</v>
      </c>
      <c r="J19" s="53">
        <f ca="1">ROUND(IF(项目基本情况!B11="自然人",J8*M19/(1+'数据-取费表'!C42),J20+J21+J22),0)</f>
        <v>0</v>
      </c>
      <c r="K19" s="1963" t="s">
        <v>648</v>
      </c>
      <c r="L19" s="1961" t="s">
        <v>649</v>
      </c>
      <c r="M19" s="810">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3" t="s">
        <v>1841</v>
      </c>
      <c r="B20" s="784" t="s">
        <v>650</v>
      </c>
      <c r="C20" s="53">
        <f ca="1">ROUND(C16*F20,0)</f>
        <v>0</v>
      </c>
      <c r="D20" s="784" t="s">
        <v>639</v>
      </c>
      <c r="E20" s="784" t="s">
        <v>640</v>
      </c>
      <c r="F20" s="809">
        <f>'数据-取费表'!B36</f>
        <v>1.4999999999999999E-2</v>
      </c>
      <c r="G20" s="1578"/>
      <c r="H20" s="803" t="s">
        <v>1820</v>
      </c>
      <c r="I20" s="784" t="s">
        <v>651</v>
      </c>
      <c r="J20" s="53">
        <f ca="1">ROUND(J8*M20/(1+'数据-取费表'!C42),1)</f>
        <v>0</v>
      </c>
      <c r="K20" s="1961" t="s">
        <v>652</v>
      </c>
      <c r="L20" s="784" t="s">
        <v>640</v>
      </c>
      <c r="M20" s="809">
        <f>'数据-取费表'!B41</f>
        <v>5.6000000000000001E-2</v>
      </c>
      <c r="N20" s="2047"/>
      <c r="O20" s="2047"/>
      <c r="P20" s="2047"/>
      <c r="Q20" s="2047"/>
      <c r="R20" s="2047"/>
      <c r="S20" s="2047"/>
      <c r="T20" s="2047"/>
      <c r="U20" s="2047"/>
      <c r="V20" s="2047"/>
      <c r="W20" s="2047"/>
      <c r="X20" s="2047"/>
      <c r="Y20" s="2047"/>
    </row>
    <row r="21" spans="1:25" ht="18" customHeight="1">
      <c r="A21" s="803" t="s">
        <v>1865</v>
      </c>
      <c r="B21" s="784" t="s">
        <v>653</v>
      </c>
      <c r="C21" s="53">
        <f ca="1">SUM(C16:C20)</f>
        <v>0</v>
      </c>
      <c r="D21" s="261" t="s">
        <v>654</v>
      </c>
      <c r="E21" s="1966"/>
      <c r="F21" s="56"/>
      <c r="G21" s="1577"/>
      <c r="H21" s="1814" t="s">
        <v>1838</v>
      </c>
      <c r="I21" s="784" t="s">
        <v>655</v>
      </c>
      <c r="J21" s="53">
        <f ca="1">IF(K21="按租金收入计税",ROUND(J8*M21/(1+'数据-取费表'!C42),1),ROUND(C31*F35*0.7,1))</f>
        <v>0</v>
      </c>
      <c r="K21" s="811" t="s">
        <v>656</v>
      </c>
      <c r="L21" s="784" t="s">
        <v>640</v>
      </c>
      <c r="M21" s="809">
        <f>IF(K21="按租金收入计税",'数据-取费表'!B51,'数据-取费表'!B50)</f>
        <v>1.2E-2</v>
      </c>
    </row>
    <row r="22" spans="1:25" s="2048" customFormat="1" ht="18" customHeight="1">
      <c r="A22" s="803" t="s">
        <v>1866</v>
      </c>
      <c r="B22" s="784" t="s">
        <v>657</v>
      </c>
      <c r="C22" s="53">
        <f ca="1">ROUND(C21*F22,0)</f>
        <v>0</v>
      </c>
      <c r="D22" s="812" t="s">
        <v>658</v>
      </c>
      <c r="E22" s="784" t="s">
        <v>640</v>
      </c>
      <c r="F22" s="809">
        <f>'数据-取费表'!B37</f>
        <v>0.02</v>
      </c>
      <c r="G22" s="1578"/>
      <c r="H22" s="1816" t="s">
        <v>1839</v>
      </c>
      <c r="I22" s="1806" t="s">
        <v>659</v>
      </c>
      <c r="J22" s="54">
        <f ca="1">ROUND(M22*M23/10000,0)</f>
        <v>0</v>
      </c>
      <c r="K22" s="814" t="s">
        <v>660</v>
      </c>
      <c r="L22" s="784" t="s">
        <v>661</v>
      </c>
      <c r="M22" s="640">
        <f>'数据-取费表'!B52</f>
        <v>12</v>
      </c>
      <c r="N22" s="2047"/>
      <c r="O22" s="2047"/>
      <c r="P22" s="2047"/>
      <c r="Q22" s="2047"/>
      <c r="R22" s="2047"/>
      <c r="S22" s="2047"/>
      <c r="T22" s="2047"/>
      <c r="U22" s="2047"/>
      <c r="V22" s="2047"/>
      <c r="W22" s="2047"/>
      <c r="X22" s="2047"/>
      <c r="Y22" s="2047"/>
    </row>
    <row r="23" spans="1:25" s="2048" customFormat="1" ht="18" customHeight="1">
      <c r="A23" s="803" t="s">
        <v>1867</v>
      </c>
      <c r="B23" s="784" t="s">
        <v>662</v>
      </c>
      <c r="C23" s="53" t="s">
        <v>1</v>
      </c>
      <c r="D23" s="812" t="s">
        <v>663</v>
      </c>
      <c r="E23" s="784" t="s">
        <v>664</v>
      </c>
      <c r="F23" s="809">
        <f>'数据-取费表'!B38</f>
        <v>0.02</v>
      </c>
      <c r="G23" s="1578"/>
      <c r="H23" s="1817"/>
      <c r="I23" s="1808"/>
      <c r="J23" s="69"/>
      <c r="K23" s="816"/>
      <c r="L23" s="784" t="s">
        <v>665</v>
      </c>
      <c r="M23" s="785">
        <f ca="1">INDIRECT("'数据-取费表'!r"&amp;$G$1)</f>
        <v>0</v>
      </c>
      <c r="N23" s="2047"/>
      <c r="O23" s="2047"/>
      <c r="P23" s="2047"/>
      <c r="Q23" s="2047"/>
      <c r="R23" s="2047"/>
      <c r="S23" s="2047"/>
      <c r="T23" s="2047"/>
      <c r="U23" s="2047"/>
      <c r="V23" s="2047"/>
      <c r="W23" s="2047"/>
      <c r="X23" s="2047"/>
      <c r="Y23" s="2047"/>
    </row>
    <row r="24" spans="1:25" ht="18" customHeight="1">
      <c r="A24" s="803" t="s">
        <v>1868</v>
      </c>
      <c r="B24" s="784" t="s">
        <v>666</v>
      </c>
      <c r="C24" s="53"/>
      <c r="D24" s="2535" t="str">
        <f>IF(F25&lt;=1,"单利计息。","复利计息。")&amp;"建造成本、管理费用、销售费用产生的利息。"</f>
        <v>复利计息。建造成本、管理费用、销售费用产生的利息。</v>
      </c>
      <c r="E24" s="1966"/>
      <c r="F24" s="56"/>
      <c r="G24" s="1577"/>
      <c r="H24" s="1815" t="s">
        <v>2057</v>
      </c>
      <c r="I24" s="784" t="s">
        <v>667</v>
      </c>
      <c r="J24" s="53">
        <f ca="1">ROUND(J16*M24,0)</f>
        <v>0</v>
      </c>
      <c r="K24" s="1961" t="s">
        <v>668</v>
      </c>
      <c r="L24" s="784" t="s">
        <v>640</v>
      </c>
      <c r="M24" s="817">
        <f ca="1">INDIRECT("'数据-取费表'!Ak"&amp;$G$1)</f>
        <v>0</v>
      </c>
    </row>
    <row r="25" spans="1:25" s="2048" customFormat="1" ht="18" customHeight="1">
      <c r="A25" s="803" t="s">
        <v>1864</v>
      </c>
      <c r="B25" s="784" t="s">
        <v>2423</v>
      </c>
      <c r="C25" s="53">
        <f ca="1">ROUND(IF('数据-取费表'!B22&lt;=1,(C21+C22)*F26*F25/2,(C21+C22)*(POWER((1+F26),F25/2)-1)),0)</f>
        <v>0</v>
      </c>
      <c r="D25" s="2534" t="str">
        <f>IF(F25&lt;=1,"(建造成本+管理费用)×利率×(建设周期÷2)","(建造成本+管理费用)×((1+利率)^(建设周期÷2)-1)")</f>
        <v>(建造成本+管理费用)×((1+利率)^(建设周期÷2)-1)</v>
      </c>
      <c r="E25" s="784" t="s">
        <v>669</v>
      </c>
      <c r="F25" s="640">
        <f>'数据-取费表'!B20</f>
        <v>2</v>
      </c>
      <c r="G25" s="1578"/>
      <c r="H25" s="803" t="s">
        <v>1867</v>
      </c>
      <c r="I25" s="784" t="s">
        <v>670</v>
      </c>
      <c r="J25" s="53">
        <f ca="1">ROUND(J15*M25,0)</f>
        <v>0</v>
      </c>
      <c r="K25" s="1961" t="s">
        <v>671</v>
      </c>
      <c r="L25" s="784" t="s">
        <v>640</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1838</v>
      </c>
      <c r="B26" s="784" t="s">
        <v>672</v>
      </c>
      <c r="C26" s="53">
        <f ca="1">ROUND(IF('数据-取费表'!B22&lt;=1,F23*F26*F25/2,F23*(POWER((1+F26),F25/2)-1)),4)</f>
        <v>1E-3</v>
      </c>
      <c r="D26" s="2534" t="str">
        <f>IF(F25&lt;=1,"销售费用×利率×(建设周期÷2)","销售费用×((1+利率)^(建设周期÷2)-1)")</f>
        <v>销售费用×((1+利率)^(建设周期÷2)-1)</v>
      </c>
      <c r="E26" s="784" t="s">
        <v>673</v>
      </c>
      <c r="F26" s="819">
        <f ca="1">'数据-取费表'!B40</f>
        <v>4.7500000000000001E-2</v>
      </c>
      <c r="G26" s="1578"/>
      <c r="H26" s="803" t="s">
        <v>1868</v>
      </c>
      <c r="I26" s="784" t="s">
        <v>657</v>
      </c>
      <c r="J26" s="53">
        <f ca="1">ROUND(J7*M26,0)</f>
        <v>0</v>
      </c>
      <c r="K26" s="1961" t="s">
        <v>674</v>
      </c>
      <c r="L26" s="784" t="s">
        <v>640</v>
      </c>
      <c r="M26" s="794">
        <f ca="1">INDIRECT("'数据-取费表'!Am"&amp;$G$1)</f>
        <v>0</v>
      </c>
      <c r="N26" s="2047"/>
      <c r="O26" s="2047"/>
      <c r="P26" s="2047"/>
      <c r="Q26" s="2047"/>
      <c r="R26" s="2047"/>
      <c r="S26" s="2047"/>
      <c r="T26" s="2047"/>
      <c r="U26" s="2047"/>
      <c r="V26" s="2047"/>
      <c r="W26" s="2047"/>
      <c r="X26" s="2047"/>
      <c r="Y26" s="2047"/>
    </row>
    <row r="27" spans="1:25" ht="18" customHeight="1">
      <c r="A27" s="803" t="s">
        <v>1870</v>
      </c>
      <c r="B27" s="784" t="s">
        <v>675</v>
      </c>
      <c r="C27" s="53"/>
      <c r="D27" s="261" t="s">
        <v>676</v>
      </c>
      <c r="E27" s="1966"/>
      <c r="F27" s="56"/>
      <c r="G27" s="1577"/>
      <c r="H27" s="797" t="s">
        <v>1817</v>
      </c>
      <c r="I27" s="2962" t="s">
        <v>2807</v>
      </c>
      <c r="J27" s="799">
        <f ca="1">J7-J18</f>
        <v>0</v>
      </c>
      <c r="K27" s="1963" t="s">
        <v>691</v>
      </c>
      <c r="L27" s="1965"/>
      <c r="M27" s="820"/>
    </row>
    <row r="28" spans="1:25" ht="18" customHeight="1">
      <c r="A28" s="803" t="s">
        <v>1864</v>
      </c>
      <c r="B28" s="784" t="s">
        <v>2424</v>
      </c>
      <c r="C28" s="53">
        <f ca="1">ROUND((C21+C22)*F28,0)</f>
        <v>0</v>
      </c>
      <c r="D28" s="812" t="s">
        <v>692</v>
      </c>
      <c r="E28" s="795" t="s">
        <v>693</v>
      </c>
      <c r="F28" s="794">
        <f ca="1">INDIRECT("'数据-取费表'!q"&amp;$G$1)</f>
        <v>0</v>
      </c>
      <c r="G28" s="1577"/>
      <c r="H28" s="781" t="s">
        <v>1826</v>
      </c>
      <c r="I28" s="782" t="s">
        <v>694</v>
      </c>
      <c r="J28" s="783">
        <f ca="1">IF(J7&lt;&gt;0,ROUND(J27*(1-((1+M30)/(1+M28))^M29)/(M28-M30),0),0)</f>
        <v>0</v>
      </c>
      <c r="K28" s="814" t="s">
        <v>695</v>
      </c>
      <c r="L28" s="784" t="s">
        <v>696</v>
      </c>
      <c r="M28" s="794">
        <f ca="1">INDIRECT("'数据-取费表'!I"&amp;$G$1)</f>
        <v>0</v>
      </c>
    </row>
    <row r="29" spans="1:25" ht="18" customHeight="1">
      <c r="A29" s="803" t="s">
        <v>1838</v>
      </c>
      <c r="B29" s="784" t="s">
        <v>677</v>
      </c>
      <c r="C29" s="53">
        <f ca="1">ROUND(F23*F28,4)</f>
        <v>0</v>
      </c>
      <c r="D29" s="812" t="s">
        <v>697</v>
      </c>
      <c r="E29" s="806"/>
      <c r="F29" s="807"/>
      <c r="G29" s="1577"/>
      <c r="H29" s="786"/>
      <c r="I29" s="787"/>
      <c r="J29" s="788"/>
      <c r="K29" s="821" t="s">
        <v>698</v>
      </c>
      <c r="L29" s="784" t="s">
        <v>699</v>
      </c>
      <c r="M29" s="822">
        <f ca="1">INDIRECT("'数据-取费表'!ag"&amp;$G$1)</f>
        <v>0</v>
      </c>
    </row>
    <row r="30" spans="1:25" s="2048" customFormat="1" ht="18" customHeight="1">
      <c r="A30" s="803" t="s">
        <v>1871</v>
      </c>
      <c r="B30" s="784" t="s">
        <v>678</v>
      </c>
      <c r="C30" s="53">
        <f>ROUND(F30/(1+'数据-取费表'!C42),4)</f>
        <v>5.33E-2</v>
      </c>
      <c r="D30" s="812" t="s">
        <v>700</v>
      </c>
      <c r="E30" s="784" t="s">
        <v>640</v>
      </c>
      <c r="F30" s="809">
        <f>'数据-取费表'!B41</f>
        <v>5.6000000000000001E-2</v>
      </c>
      <c r="G30" s="1578"/>
      <c r="H30" s="790"/>
      <c r="I30" s="791"/>
      <c r="J30" s="792"/>
      <c r="K30" s="816"/>
      <c r="L30" s="784" t="s">
        <v>701</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1872</v>
      </c>
      <c r="B31" s="2504" t="s">
        <v>2808</v>
      </c>
      <c r="C31" s="2507">
        <f ca="1">ROUND((C21+C22+C25+C28)/(1-F23-C26-C29-C30),0)</f>
        <v>0</v>
      </c>
      <c r="D31" s="2508"/>
      <c r="E31" s="2509"/>
      <c r="F31" s="2510"/>
      <c r="G31" s="1578"/>
      <c r="H31" s="823" t="s">
        <v>1861</v>
      </c>
      <c r="I31" s="2963" t="s">
        <v>2809</v>
      </c>
      <c r="J31" s="825">
        <f ca="1">ROUND(J28/(1+F45)^F46,0)</f>
        <v>0</v>
      </c>
      <c r="K31" s="826" t="s">
        <v>679</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680</v>
      </c>
      <c r="C32" s="792">
        <f ca="1">ROUND(C33+C38+C39+C40,0)</f>
        <v>0</v>
      </c>
      <c r="D32" s="1805" t="s">
        <v>643</v>
      </c>
      <c r="E32" s="2450"/>
      <c r="F32" s="2454"/>
      <c r="G32" s="2046"/>
      <c r="H32" s="2049"/>
      <c r="I32" s="2050"/>
      <c r="J32" s="2051"/>
      <c r="K32" s="2052"/>
      <c r="L32" s="2053"/>
      <c r="M32" s="2054"/>
    </row>
    <row r="33" spans="1:18" ht="18" customHeight="1">
      <c r="A33" s="803" t="s">
        <v>1865</v>
      </c>
      <c r="B33" s="784" t="s">
        <v>647</v>
      </c>
      <c r="C33" s="53">
        <f ca="1">ROUND(IF(项目基本情况!B11="自然人",C8*F33/(1+'数据-取费表'!C42),C34+C35+C36),1)</f>
        <v>0</v>
      </c>
      <c r="D33" s="1963" t="s">
        <v>648</v>
      </c>
      <c r="E33" s="1961" t="s">
        <v>681</v>
      </c>
      <c r="F33" s="810">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3" t="s">
        <v>1864</v>
      </c>
      <c r="B34" s="784" t="s">
        <v>651</v>
      </c>
      <c r="C34" s="53">
        <f ca="1">ROUND(C8*F34/(1+'数据-取费表'!C42),1)</f>
        <v>0</v>
      </c>
      <c r="D34" s="1961" t="s">
        <v>652</v>
      </c>
      <c r="E34" s="784" t="s">
        <v>640</v>
      </c>
      <c r="F34" s="809">
        <f>'数据-取费表'!B41</f>
        <v>5.6000000000000001E-2</v>
      </c>
      <c r="G34" s="2046"/>
      <c r="H34" s="2055"/>
      <c r="I34" s="2056"/>
      <c r="J34" s="2057"/>
      <c r="K34" s="2058"/>
      <c r="L34" s="2059"/>
      <c r="M34" s="2060"/>
    </row>
    <row r="35" spans="1:18" ht="18" customHeight="1">
      <c r="A35" s="803" t="s">
        <v>1838</v>
      </c>
      <c r="B35" s="784" t="s">
        <v>655</v>
      </c>
      <c r="C35" s="53">
        <f ca="1">IF(D35="按租金收入计税",ROUND(C8*F35/(1+'数据-取费表'!C42),1),IF(D35="按房产原值计税",ROUND(C31*F35*0.7,1),INDIRECT("'数据-取费表'!Aj"&amp;$G$1)))</f>
        <v>0</v>
      </c>
      <c r="D35" s="811" t="s">
        <v>1669</v>
      </c>
      <c r="E35" s="784" t="s">
        <v>640</v>
      </c>
      <c r="F35" s="809">
        <f>IF(D35="按租金收入计税",'数据-取费表'!B51,'数据-取费表'!B50)</f>
        <v>1.2E-2</v>
      </c>
      <c r="G35" s="2046"/>
      <c r="H35" s="2061"/>
      <c r="I35" s="2061"/>
      <c r="J35" s="2061"/>
      <c r="K35" s="2062"/>
      <c r="L35" s="2061"/>
      <c r="M35" s="2061"/>
    </row>
    <row r="36" spans="1:18" ht="18" customHeight="1">
      <c r="A36" s="813" t="s">
        <v>1869</v>
      </c>
      <c r="B36" s="341" t="s">
        <v>659</v>
      </c>
      <c r="C36" s="54">
        <f ca="1">ROUND(F36*F37/10000,1)</f>
        <v>0</v>
      </c>
      <c r="D36" s="814" t="s">
        <v>660</v>
      </c>
      <c r="E36" s="784" t="s">
        <v>661</v>
      </c>
      <c r="F36" s="640">
        <f>'数据-取费表'!B52</f>
        <v>12</v>
      </c>
      <c r="G36" s="2046"/>
      <c r="H36" s="2049"/>
      <c r="I36" s="3471"/>
      <c r="J36" s="2063"/>
      <c r="K36" s="2064"/>
      <c r="L36" s="2063"/>
      <c r="M36" s="2063"/>
    </row>
    <row r="37" spans="1:18" ht="18" customHeight="1">
      <c r="A37" s="815"/>
      <c r="B37" s="793"/>
      <c r="C37" s="69"/>
      <c r="D37" s="816"/>
      <c r="E37" s="784" t="s">
        <v>665</v>
      </c>
      <c r="F37" s="785">
        <f ca="1">INDIRECT("'数据-取费表'!r"&amp;$G$1)</f>
        <v>0</v>
      </c>
      <c r="G37" s="2046"/>
      <c r="H37" s="2049"/>
      <c r="I37" s="3471"/>
      <c r="J37" s="2061"/>
      <c r="K37" s="2062"/>
      <c r="L37" s="2061"/>
      <c r="M37" s="2061"/>
    </row>
    <row r="38" spans="1:18" ht="18" customHeight="1">
      <c r="A38" s="803" t="s">
        <v>1866</v>
      </c>
      <c r="B38" s="784" t="s">
        <v>667</v>
      </c>
      <c r="C38" s="53">
        <f ca="1">ROUND(C31*F38,1)</f>
        <v>0</v>
      </c>
      <c r="D38" s="1961" t="s">
        <v>682</v>
      </c>
      <c r="E38" s="784" t="s">
        <v>640</v>
      </c>
      <c r="F38" s="817">
        <f ca="1">INDIRECT("'数据-取费表'!Ak"&amp;$G$1)</f>
        <v>0</v>
      </c>
      <c r="G38" s="2046"/>
      <c r="H38" s="2061"/>
      <c r="I38" s="2065"/>
      <c r="J38" s="1972"/>
      <c r="K38" s="2066"/>
      <c r="L38" s="2061"/>
      <c r="M38" s="2061"/>
    </row>
    <row r="39" spans="1:18" ht="18" customHeight="1">
      <c r="A39" s="803" t="s">
        <v>1867</v>
      </c>
      <c r="B39" s="784" t="s">
        <v>670</v>
      </c>
      <c r="C39" s="53">
        <f ca="1">ROUND(C15*F39,1)</f>
        <v>0</v>
      </c>
      <c r="D39" s="1961" t="s">
        <v>671</v>
      </c>
      <c r="E39" s="784" t="s">
        <v>640</v>
      </c>
      <c r="F39" s="818">
        <f ca="1">INDIRECT("'数据-取费表'!Al"&amp;$G$1)</f>
        <v>0</v>
      </c>
      <c r="G39" s="2046"/>
      <c r="H39" s="2061"/>
      <c r="I39" s="2065"/>
      <c r="J39" s="1972"/>
      <c r="K39" s="2066"/>
      <c r="L39" s="2061"/>
      <c r="M39" s="2061"/>
    </row>
    <row r="40" spans="1:18" ht="18" customHeight="1" thickBot="1">
      <c r="A40" s="2523" t="s">
        <v>1868</v>
      </c>
      <c r="B40" s="2509" t="s">
        <v>657</v>
      </c>
      <c r="C40" s="2507">
        <f ca="1">ROUND(C7*F40,1)</f>
        <v>0</v>
      </c>
      <c r="D40" s="2508" t="s">
        <v>674</v>
      </c>
      <c r="E40" s="2509" t="s">
        <v>640</v>
      </c>
      <c r="F40" s="2505">
        <f ca="1">INDIRECT("'数据-取费表'!Am"&amp;$G$1)</f>
        <v>0</v>
      </c>
      <c r="G40" s="2046"/>
      <c r="H40" s="2061"/>
      <c r="I40" s="2065"/>
      <c r="J40" s="1972"/>
      <c r="K40" s="2067"/>
      <c r="L40" s="2061"/>
      <c r="M40" s="2061"/>
    </row>
    <row r="41" spans="1:18" ht="18" customHeight="1" thickTop="1">
      <c r="A41" s="1813">
        <v>4</v>
      </c>
      <c r="B41" s="1811" t="s">
        <v>683</v>
      </c>
      <c r="C41" s="1348"/>
      <c r="D41" s="1349"/>
      <c r="E41" s="1349"/>
      <c r="F41" s="1350"/>
      <c r="G41" s="2046"/>
      <c r="H41" s="2046"/>
      <c r="I41" s="2046"/>
      <c r="J41" s="2046"/>
      <c r="K41" s="2067"/>
      <c r="L41" s="2046"/>
      <c r="M41" s="2046"/>
    </row>
    <row r="42" spans="1:18" ht="18" customHeight="1">
      <c r="A42" s="803" t="s">
        <v>1865</v>
      </c>
      <c r="B42" s="835" t="s">
        <v>684</v>
      </c>
      <c r="C42" s="829">
        <f ca="1">C7-C32</f>
        <v>0</v>
      </c>
      <c r="D42" s="1963" t="s">
        <v>685</v>
      </c>
      <c r="E42" s="1965"/>
      <c r="F42" s="820"/>
      <c r="G42" s="2046"/>
      <c r="H42" s="2046"/>
      <c r="I42" s="2046"/>
      <c r="J42" s="2046"/>
      <c r="K42" s="2067"/>
      <c r="L42" s="2046"/>
      <c r="M42" s="2046"/>
    </row>
    <row r="43" spans="1:18" ht="18" customHeight="1">
      <c r="A43" s="803" t="s">
        <v>1866</v>
      </c>
      <c r="B43" s="835" t="s">
        <v>702</v>
      </c>
      <c r="C43" s="836">
        <f ca="1">ROUND(C15*F43,0)</f>
        <v>0</v>
      </c>
      <c r="D43" s="1351" t="s">
        <v>703</v>
      </c>
      <c r="E43" s="3067" t="s">
        <v>2948</v>
      </c>
      <c r="F43" s="3068">
        <f ca="1">INDIRECT("'数据-取费表'!j"&amp;$G$1)</f>
        <v>0</v>
      </c>
      <c r="G43" s="2046"/>
      <c r="H43" s="2046"/>
      <c r="I43" s="2046"/>
      <c r="J43" s="2046"/>
      <c r="K43" s="2067"/>
      <c r="L43" s="2046"/>
      <c r="M43" s="2046"/>
    </row>
    <row r="44" spans="1:18" ht="18" customHeight="1">
      <c r="A44" s="803" t="s">
        <v>1867</v>
      </c>
      <c r="B44" s="835" t="s">
        <v>704</v>
      </c>
      <c r="C44" s="1352">
        <f ca="1">C42-C43</f>
        <v>0</v>
      </c>
      <c r="D44" s="463" t="s">
        <v>705</v>
      </c>
      <c r="E44" s="464"/>
      <c r="F44" s="465"/>
      <c r="G44" s="2046"/>
      <c r="H44" s="2046"/>
      <c r="I44" s="2046"/>
      <c r="J44" s="2046"/>
      <c r="K44" s="2067"/>
      <c r="L44" s="2046"/>
      <c r="M44" s="2046"/>
    </row>
    <row r="45" spans="1:18" ht="18" customHeight="1">
      <c r="A45" s="803" t="s">
        <v>1868</v>
      </c>
      <c r="B45" s="1351" t="s">
        <v>706</v>
      </c>
      <c r="C45" s="2989">
        <f ca="1">ROUND(-PV(F45,F46,C44,0),0)</f>
        <v>0</v>
      </c>
      <c r="D45" s="1353" t="s">
        <v>707</v>
      </c>
      <c r="E45" s="806" t="s">
        <v>708</v>
      </c>
      <c r="F45" s="830">
        <f ca="1">INDIRECT("'数据-取费表'!h"&amp;$G$1)</f>
        <v>0</v>
      </c>
      <c r="G45" s="2046"/>
      <c r="H45" s="2046"/>
      <c r="I45" s="2046"/>
      <c r="J45" s="2046"/>
      <c r="K45" s="2067"/>
      <c r="L45" s="2046"/>
      <c r="M45" s="2046"/>
    </row>
    <row r="46" spans="1:18" ht="18" customHeight="1" thickBot="1">
      <c r="A46" s="831"/>
      <c r="B46" s="1354"/>
      <c r="C46" s="1355"/>
      <c r="D46" s="1356"/>
      <c r="E46" s="3069" t="s">
        <v>2951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2329</v>
      </c>
      <c r="J47" s="2342"/>
      <c r="K47" s="2343"/>
      <c r="L47" s="3101" t="str">
        <f ca="1">IF(M48="住宅",0,IF(L49&gt;J52,L61,J61))</f>
        <v>0</v>
      </c>
      <c r="O47" s="2357" t="s">
        <v>2396</v>
      </c>
      <c r="P47" s="1577"/>
      <c r="Q47" s="1588"/>
      <c r="R47" s="1577"/>
    </row>
    <row r="48" spans="1:18" s="2043" customFormat="1" ht="18" customHeight="1" thickBot="1">
      <c r="A48" s="2068"/>
      <c r="C48" s="2071"/>
      <c r="D48" s="2072"/>
      <c r="E48" s="2072"/>
      <c r="F48" s="2073"/>
      <c r="G48" s="2074"/>
      <c r="I48" s="3092" t="s">
        <v>2330</v>
      </c>
      <c r="J48" s="2344"/>
      <c r="K48" s="3098" t="s">
        <v>2335</v>
      </c>
      <c r="L48" s="3102">
        <f ca="1">INDIRECT("'数据-取费表'!d"&amp;$G$1)</f>
        <v>0</v>
      </c>
      <c r="M48" s="3066" t="str">
        <f>IF(ISNUMBER(FIND("住宅",C1)),"住宅","非住宅")</f>
        <v>非住宅</v>
      </c>
      <c r="O48" s="2358" t="s">
        <v>2361</v>
      </c>
      <c r="P48" s="2359" t="s">
        <v>2362</v>
      </c>
      <c r="Q48" s="2360" t="s">
        <v>2363</v>
      </c>
      <c r="R48" s="2359" t="s">
        <v>2364</v>
      </c>
    </row>
    <row r="49" spans="1:18" s="2043" customFormat="1" ht="18" customHeight="1" thickBot="1">
      <c r="A49" s="2068"/>
      <c r="D49" s="2075"/>
      <c r="E49" s="2076"/>
      <c r="F49" s="2073"/>
      <c r="G49" s="2074"/>
      <c r="H49" s="2077"/>
      <c r="I49" s="3071" t="s">
        <v>2331</v>
      </c>
      <c r="J49" s="2345"/>
      <c r="K49" s="3099" t="s">
        <v>2337</v>
      </c>
      <c r="L49" s="1892">
        <f ca="1">INDIRECT("'数据-取费表'!f"&amp;$G$1)</f>
        <v>0</v>
      </c>
      <c r="O49" s="2361" t="s">
        <v>2365</v>
      </c>
      <c r="P49" s="2362" t="s">
        <v>2391</v>
      </c>
      <c r="Q49" s="2363">
        <f ca="1">C41+J31</f>
        <v>0</v>
      </c>
      <c r="R49" s="2362" t="s">
        <v>2366</v>
      </c>
    </row>
    <row r="50" spans="1:18" s="2043" customFormat="1" ht="18" customHeight="1" thickBot="1">
      <c r="A50" s="2068"/>
      <c r="D50" s="2078"/>
      <c r="E50" s="2078"/>
      <c r="F50" s="2072"/>
      <c r="G50" s="2079"/>
      <c r="H50" s="2077"/>
      <c r="I50" s="3071" t="s">
        <v>2332</v>
      </c>
      <c r="J50" s="2346"/>
      <c r="K50" s="3100" t="s">
        <v>2338</v>
      </c>
      <c r="L50" s="2347"/>
      <c r="O50" s="2361" t="s">
        <v>2367</v>
      </c>
      <c r="P50" s="2362" t="s">
        <v>2392</v>
      </c>
      <c r="Q50" s="2363" t="str">
        <f ca="1">J61</f>
        <v>0</v>
      </c>
      <c r="R50" s="2362" t="s">
        <v>2368</v>
      </c>
    </row>
    <row r="51" spans="1:18" s="2043" customFormat="1" ht="18" customHeight="1" thickBot="1">
      <c r="A51" s="2080"/>
      <c r="D51" s="2078"/>
      <c r="E51" s="2078"/>
      <c r="F51" s="2069"/>
      <c r="H51" s="2077"/>
      <c r="I51" s="3071" t="s">
        <v>2333</v>
      </c>
      <c r="J51" s="3096">
        <f>SUMPRODUCT((I64:I66=J48)*(J63:L63=J49)*(J64:L66))</f>
        <v>0</v>
      </c>
      <c r="K51" s="3100" t="s">
        <v>2339</v>
      </c>
      <c r="L51" s="2347"/>
      <c r="O51" s="2364" t="s">
        <v>2369</v>
      </c>
      <c r="P51" s="2362" t="s">
        <v>2393</v>
      </c>
      <c r="Q51" s="2363">
        <f ca="1">C31</f>
        <v>0</v>
      </c>
      <c r="R51" s="2362" t="s">
        <v>2366</v>
      </c>
    </row>
    <row r="52" spans="1:18" s="2043" customFormat="1" ht="18" customHeight="1" thickBot="1">
      <c r="A52" s="2080"/>
      <c r="F52" s="2069"/>
      <c r="I52" s="3093" t="s">
        <v>2334</v>
      </c>
      <c r="J52" s="3097">
        <f>IF(J50="",J51,J50+J51-YEAR('数据-取费表'!B3))</f>
        <v>0</v>
      </c>
      <c r="K52" s="3071" t="s">
        <v>2340</v>
      </c>
      <c r="L52" s="3103">
        <f ca="1">C45</f>
        <v>0</v>
      </c>
      <c r="O52" s="2364" t="s">
        <v>2370</v>
      </c>
      <c r="P52" s="2362" t="s">
        <v>2371</v>
      </c>
      <c r="Q52" s="2365" t="e">
        <f ca="1">J59</f>
        <v>#VALUE!</v>
      </c>
      <c r="R52" s="2366"/>
    </row>
    <row r="53" spans="1:18" s="2043" customFormat="1" ht="18" customHeight="1" thickBot="1">
      <c r="A53" s="2080"/>
      <c r="F53" s="2069"/>
      <c r="I53" s="3094" t="s">
        <v>2407</v>
      </c>
      <c r="J53" s="2348"/>
      <c r="K53" s="3094" t="s">
        <v>2406</v>
      </c>
      <c r="L53" s="2348"/>
      <c r="O53" s="2364" t="s">
        <v>2372</v>
      </c>
      <c r="P53" s="2362" t="s">
        <v>2373</v>
      </c>
      <c r="Q53" s="2365">
        <f>J53</f>
        <v>0</v>
      </c>
      <c r="R53" s="2366"/>
    </row>
    <row r="54" spans="1:18" s="2043" customFormat="1" ht="29.25" thickBot="1">
      <c r="A54" s="2080"/>
      <c r="I54" s="3095" t="s">
        <v>2964</v>
      </c>
      <c r="J54" s="3174">
        <f ca="1">IF(M48="住宅",MAX(J52,L49-'数据-取费表'!B20),MIN(J52,L49-'数据-取费表'!B20))</f>
        <v>-2</v>
      </c>
      <c r="K54" s="3476"/>
      <c r="L54" s="3477"/>
      <c r="O54" s="2364" t="s">
        <v>2374</v>
      </c>
      <c r="P54" s="2362" t="s">
        <v>2375</v>
      </c>
      <c r="Q54" s="2363">
        <f ca="1">J54</f>
        <v>-2</v>
      </c>
      <c r="R54" s="2362" t="s">
        <v>2376</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2377</v>
      </c>
      <c r="P55" s="2362" t="s">
        <v>2394</v>
      </c>
      <c r="Q55" s="2363">
        <f ca="1">Q49+Q50</f>
        <v>0</v>
      </c>
      <c r="R55" s="2366" t="s">
        <v>2378</v>
      </c>
    </row>
    <row r="56" spans="1:18" s="2043" customFormat="1" ht="16.5" thickBot="1">
      <c r="A56" s="2080"/>
      <c r="B56" s="2081"/>
      <c r="C56" s="2081"/>
      <c r="I56" s="3106" t="s">
        <v>2341</v>
      </c>
      <c r="J56" s="3046" t="e">
        <f ca="1">ROUND(IF(J48="钢混",J58/J51,1-(1-2%)*(J51-J58)/J51),3)</f>
        <v>#VALUE!</v>
      </c>
      <c r="K56" s="3107" t="s">
        <v>2342</v>
      </c>
      <c r="L56" s="2349"/>
      <c r="O56" s="2367" t="s">
        <v>2397</v>
      </c>
      <c r="P56" s="1577"/>
      <c r="Q56" s="1588"/>
      <c r="R56" s="1577"/>
    </row>
    <row r="57" spans="1:18" s="2043" customFormat="1" ht="43.5" thickBot="1">
      <c r="A57" s="2080"/>
      <c r="B57" s="2081"/>
      <c r="C57" s="2081"/>
      <c r="I57" s="3108" t="s">
        <v>2343</v>
      </c>
      <c r="J57" s="3118" t="s">
        <v>1667</v>
      </c>
      <c r="K57" s="3071" t="s">
        <v>2348</v>
      </c>
      <c r="L57" s="1892">
        <f ca="1">IF(L49&lt;J52,"——",L49-J52)</f>
        <v>0</v>
      </c>
      <c r="O57" s="2358" t="s">
        <v>2361</v>
      </c>
      <c r="P57" s="2359" t="s">
        <v>2362</v>
      </c>
      <c r="Q57" s="2360" t="s">
        <v>2363</v>
      </c>
      <c r="R57" s="2359" t="s">
        <v>2364</v>
      </c>
    </row>
    <row r="58" spans="1:18" s="2043" customFormat="1" ht="29.25" thickBot="1">
      <c r="A58" s="2080"/>
      <c r="B58" s="2081"/>
      <c r="C58" s="2081"/>
      <c r="I58" s="3109" t="s">
        <v>2344</v>
      </c>
      <c r="J58" s="3110" t="str">
        <f ca="1">IF(OR(M48="住宅",J52&lt;L49,J57="是"),"——",J52-L49)</f>
        <v>——</v>
      </c>
      <c r="K58" s="3071" t="s">
        <v>2349</v>
      </c>
      <c r="L58" s="1892">
        <f ca="1">IF(L49&lt;J52,"——",IF(L56="比较法",L50,IF(L56="基准地价",L51,L52)))</f>
        <v>0</v>
      </c>
      <c r="O58" s="2361" t="s">
        <v>2365</v>
      </c>
      <c r="P58" s="2362" t="s">
        <v>2391</v>
      </c>
      <c r="Q58" s="2363">
        <f ca="1">C41+J31</f>
        <v>0</v>
      </c>
      <c r="R58" s="2362" t="s">
        <v>2366</v>
      </c>
    </row>
    <row r="59" spans="1:18" s="2043" customFormat="1" ht="29.25" thickBot="1">
      <c r="A59" s="2080"/>
      <c r="B59" s="2081"/>
      <c r="C59" s="2081"/>
      <c r="I59" s="3109" t="s">
        <v>2345</v>
      </c>
      <c r="J59" s="3047" t="e">
        <f ca="1">IF(J56&lt;0.4,0.4,J56)</f>
        <v>#VALUE!</v>
      </c>
      <c r="K59" s="3071" t="s">
        <v>2350</v>
      </c>
      <c r="L59" s="1892">
        <f ca="1">IF(ISERROR(POWER(1+L53,L48-L49)*(POWER(1+L53,L49)-1)/(POWER(1+L53,L48)-1)),0,POWER(1+L53,L48-L49)*(POWER(1+L53,L49)-1)/(POWER(1+L53,L48)-1))</f>
        <v>0</v>
      </c>
      <c r="O59" s="2361" t="s">
        <v>2367</v>
      </c>
      <c r="P59" s="2362" t="s">
        <v>2398</v>
      </c>
      <c r="Q59" s="2363" t="e">
        <f ca="1">L61</f>
        <v>#DIV/0!</v>
      </c>
      <c r="R59" s="2366" t="s">
        <v>2400</v>
      </c>
    </row>
    <row r="60" spans="1:18" s="2043" customFormat="1" ht="29.25" thickBot="1">
      <c r="A60" s="2080"/>
      <c r="B60" s="2081"/>
      <c r="C60" s="2081"/>
      <c r="I60" s="3109" t="s">
        <v>2346</v>
      </c>
      <c r="J60" s="3110" t="str">
        <f ca="1">IF(OR(M48="住宅",J52&lt;L49,J57="是"),"——",ROUND(C30*J59,0))</f>
        <v>——</v>
      </c>
      <c r="K60" s="3071" t="s">
        <v>2351</v>
      </c>
      <c r="L60" s="1892">
        <f ca="1">IF(ISERROR(POWER(1+L53,L48-J52)*(POWER(1+L53,J52)-1)/(POWER(1+L53,L48)-1)),0,POWER(1+L53,L48-J52)*(POWER(1+L53,J52)-1)/(POWER(1+L53,L48)-1))</f>
        <v>0</v>
      </c>
      <c r="O60" s="2364" t="s">
        <v>2369</v>
      </c>
      <c r="P60" s="2362" t="s">
        <v>2399</v>
      </c>
      <c r="Q60" s="2363">
        <f>IF(L56="比较法",L50,IF(L56="基准地价",L51,0))</f>
        <v>0</v>
      </c>
      <c r="R60" s="2362" t="s">
        <v>2366</v>
      </c>
    </row>
    <row r="61" spans="1:18" s="2043" customFormat="1" ht="15.75" thickBot="1">
      <c r="A61" s="2080"/>
      <c r="B61" s="2081"/>
      <c r="C61" s="2081"/>
      <c r="I61" s="3111" t="s">
        <v>2347</v>
      </c>
      <c r="J61" s="3112" t="str">
        <f ca="1">IF(OR(M48="住宅",J52&lt;L49,J57="是"),"0",ROUND(J60/(1+J53)^J54,0))</f>
        <v>0</v>
      </c>
      <c r="K61" s="3113" t="s">
        <v>2352</v>
      </c>
      <c r="L61" s="3112" t="e">
        <f ca="1">IF(OR(M48="住宅",L49&lt;J52),0,ROUND(L58*(L59/L60-1),0))</f>
        <v>#DIV/0!</v>
      </c>
      <c r="O61" s="2364" t="s">
        <v>2370</v>
      </c>
      <c r="P61" s="2362" t="s">
        <v>2379</v>
      </c>
      <c r="Q61" s="2365">
        <f>L53</f>
        <v>0</v>
      </c>
      <c r="R61" s="2366"/>
    </row>
    <row r="62" spans="1:18" s="2043" customFormat="1" ht="20.25" thickBot="1">
      <c r="A62" s="2080"/>
      <c r="B62" s="2081"/>
      <c r="C62" s="2081"/>
      <c r="K62" s="2070"/>
      <c r="O62" s="2364" t="s">
        <v>2372</v>
      </c>
      <c r="P62" s="2362" t="s">
        <v>2380</v>
      </c>
      <c r="Q62" s="2363">
        <f ca="1">L59</f>
        <v>0</v>
      </c>
      <c r="R62" s="2366" t="s">
        <v>2381</v>
      </c>
    </row>
    <row r="63" spans="1:18" s="2043" customFormat="1" ht="20.25" thickBot="1">
      <c r="A63" s="2080"/>
      <c r="B63" s="2081"/>
      <c r="C63" s="2081"/>
      <c r="I63" s="3114" t="s">
        <v>2353</v>
      </c>
      <c r="J63" s="3115" t="s">
        <v>2354</v>
      </c>
      <c r="K63" s="3115" t="s">
        <v>2355</v>
      </c>
      <c r="L63" s="3115" t="s">
        <v>2336</v>
      </c>
      <c r="M63" s="3116" t="s">
        <v>2929</v>
      </c>
      <c r="O63" s="2364" t="s">
        <v>2374</v>
      </c>
      <c r="P63" s="2362" t="s">
        <v>2382</v>
      </c>
      <c r="Q63" s="2363">
        <f ca="1">L60</f>
        <v>0</v>
      </c>
      <c r="R63" s="2366" t="s">
        <v>2383</v>
      </c>
    </row>
    <row r="64" spans="1:18" s="2043" customFormat="1" ht="15.75" thickBot="1">
      <c r="A64" s="2080"/>
      <c r="B64" s="2081"/>
      <c r="C64" s="2081"/>
      <c r="I64" s="3114" t="s">
        <v>2356</v>
      </c>
      <c r="J64" s="3115">
        <v>70</v>
      </c>
      <c r="K64" s="3115">
        <v>50</v>
      </c>
      <c r="L64" s="3115">
        <v>80</v>
      </c>
      <c r="M64" s="3117">
        <v>0.02</v>
      </c>
      <c r="O64" s="2361" t="s">
        <v>2377</v>
      </c>
      <c r="P64" s="2362" t="s">
        <v>2394</v>
      </c>
      <c r="Q64" s="2363" t="e">
        <f ca="1">Q58+Q59</f>
        <v>#DIV/0!</v>
      </c>
      <c r="R64" s="2366" t="s">
        <v>2378</v>
      </c>
    </row>
    <row r="65" spans="1:18" s="2043" customFormat="1" ht="16.5" thickBot="1">
      <c r="A65" s="2080"/>
      <c r="B65" s="2081"/>
      <c r="C65" s="2081"/>
      <c r="I65" s="3114" t="s">
        <v>2357</v>
      </c>
      <c r="J65" s="3115">
        <v>50</v>
      </c>
      <c r="K65" s="3115">
        <v>35</v>
      </c>
      <c r="L65" s="3115">
        <v>60</v>
      </c>
      <c r="M65" s="846">
        <v>0</v>
      </c>
      <c r="O65" s="2367" t="s">
        <v>2401</v>
      </c>
      <c r="P65" s="1577"/>
      <c r="Q65" s="1588"/>
      <c r="R65" s="1577"/>
    </row>
    <row r="66" spans="1:18" s="2043" customFormat="1" ht="15.75" thickBot="1">
      <c r="A66" s="2080"/>
      <c r="B66" s="2081"/>
      <c r="C66" s="2081"/>
      <c r="I66" s="3114" t="s">
        <v>2358</v>
      </c>
      <c r="J66" s="3115">
        <v>40</v>
      </c>
      <c r="K66" s="3115">
        <v>30</v>
      </c>
      <c r="L66" s="3115">
        <v>50</v>
      </c>
      <c r="M66" s="3117">
        <v>0.02</v>
      </c>
      <c r="O66" s="2358" t="s">
        <v>2361</v>
      </c>
      <c r="P66" s="2359" t="s">
        <v>2362</v>
      </c>
      <c r="Q66" s="2360" t="s">
        <v>2363</v>
      </c>
      <c r="R66" s="2359" t="s">
        <v>2364</v>
      </c>
    </row>
    <row r="67" spans="1:18" s="2043" customFormat="1" ht="15.75" thickBot="1">
      <c r="A67" s="2080"/>
      <c r="B67" s="2081"/>
      <c r="C67" s="2081"/>
      <c r="K67" s="2070"/>
      <c r="O67" s="2361" t="s">
        <v>2365</v>
      </c>
      <c r="P67" s="2362" t="s">
        <v>2391</v>
      </c>
      <c r="Q67" s="2363">
        <f ca="1">C41+J31</f>
        <v>0</v>
      </c>
      <c r="R67" s="2362" t="s">
        <v>2366</v>
      </c>
    </row>
    <row r="68" spans="1:18" s="2043" customFormat="1" ht="20.25" thickBot="1">
      <c r="A68" s="2080"/>
      <c r="B68" s="2081"/>
      <c r="C68" s="2081"/>
      <c r="K68" s="2070"/>
      <c r="O68" s="2361" t="s">
        <v>2367</v>
      </c>
      <c r="P68" s="2362" t="s">
        <v>2398</v>
      </c>
      <c r="Q68" s="2363" t="e">
        <f ca="1">L61</f>
        <v>#DIV/0!</v>
      </c>
      <c r="R68" s="2366" t="s">
        <v>2400</v>
      </c>
    </row>
    <row r="69" spans="1:18" s="2043" customFormat="1" ht="21.75" thickBot="1">
      <c r="A69" s="2080"/>
      <c r="B69" s="2081"/>
      <c r="C69" s="2081"/>
      <c r="K69" s="2070"/>
      <c r="O69" s="2364" t="s">
        <v>2369</v>
      </c>
      <c r="P69" s="2362" t="s">
        <v>2399</v>
      </c>
      <c r="Q69" s="2368">
        <f ca="1">L52</f>
        <v>0</v>
      </c>
      <c r="R69" s="2369" t="s">
        <v>2402</v>
      </c>
    </row>
    <row r="70" spans="1:18" s="2043" customFormat="1" ht="20.25" thickBot="1">
      <c r="A70" s="2080"/>
      <c r="B70" s="2081"/>
      <c r="C70" s="2081"/>
      <c r="K70" s="2070"/>
      <c r="O70" s="2364" t="s">
        <v>2370</v>
      </c>
      <c r="P70" s="2370" t="s">
        <v>2384</v>
      </c>
      <c r="Q70" s="2363">
        <f ca="1">ROUND(Q71-Q72*Q73,0)</f>
        <v>0</v>
      </c>
      <c r="R70" s="2366"/>
    </row>
    <row r="71" spans="1:18" s="2043" customFormat="1" ht="15.75" thickBot="1">
      <c r="A71" s="2080"/>
      <c r="B71" s="2081"/>
      <c r="C71" s="2081"/>
      <c r="K71" s="2070"/>
      <c r="O71" s="2364" t="s">
        <v>2385</v>
      </c>
      <c r="P71" s="2370" t="s">
        <v>2386</v>
      </c>
      <c r="Q71" s="2363">
        <f ca="1">C42</f>
        <v>0</v>
      </c>
      <c r="R71" s="2362" t="s">
        <v>2366</v>
      </c>
    </row>
    <row r="72" spans="1:18" s="2043" customFormat="1" ht="15.75" thickBot="1">
      <c r="A72" s="2080"/>
      <c r="B72" s="2081"/>
      <c r="C72" s="2081"/>
      <c r="K72" s="2070"/>
      <c r="O72" s="2364" t="s">
        <v>2387</v>
      </c>
      <c r="P72" s="2370" t="s">
        <v>2388</v>
      </c>
      <c r="Q72" s="2363">
        <f ca="1">C15</f>
        <v>0</v>
      </c>
      <c r="R72" s="2362" t="s">
        <v>2366</v>
      </c>
    </row>
    <row r="73" spans="1:18" s="2043" customFormat="1" ht="15.75" thickBot="1">
      <c r="A73" s="2080"/>
      <c r="B73" s="2081"/>
      <c r="C73" s="2081"/>
      <c r="K73" s="2070"/>
      <c r="O73" s="2364" t="s">
        <v>2389</v>
      </c>
      <c r="P73" s="2370" t="s">
        <v>2390</v>
      </c>
      <c r="Q73" s="2365">
        <f ca="1">F43</f>
        <v>0</v>
      </c>
      <c r="R73" s="2366"/>
    </row>
    <row r="74" spans="1:18" s="2043" customFormat="1" ht="15.75" thickBot="1">
      <c r="A74" s="2080"/>
      <c r="B74" s="2081"/>
      <c r="C74" s="2081"/>
      <c r="K74" s="2070"/>
      <c r="O74" s="2364" t="s">
        <v>2372</v>
      </c>
      <c r="P74" s="2362" t="s">
        <v>2379</v>
      </c>
      <c r="Q74" s="2365">
        <f>L53</f>
        <v>0</v>
      </c>
      <c r="R74" s="2366"/>
    </row>
    <row r="75" spans="1:18" s="2043" customFormat="1" ht="20.25" thickBot="1">
      <c r="A75" s="2080"/>
      <c r="B75" s="2081"/>
      <c r="C75" s="2081"/>
      <c r="K75" s="2070"/>
      <c r="O75" s="2364" t="s">
        <v>2374</v>
      </c>
      <c r="P75" s="2362" t="s">
        <v>2380</v>
      </c>
      <c r="Q75" s="2363">
        <f ca="1">L59</f>
        <v>0</v>
      </c>
      <c r="R75" s="2366" t="s">
        <v>2381</v>
      </c>
    </row>
    <row r="76" spans="1:18" s="2043" customFormat="1" ht="20.25" thickBot="1">
      <c r="A76" s="2080"/>
      <c r="B76" s="2081"/>
      <c r="C76" s="2081"/>
      <c r="K76" s="2070"/>
      <c r="O76" s="2364" t="s">
        <v>2403</v>
      </c>
      <c r="P76" s="2362" t="s">
        <v>2382</v>
      </c>
      <c r="Q76" s="2363">
        <f ca="1">L60</f>
        <v>0</v>
      </c>
      <c r="R76" s="2366" t="s">
        <v>2383</v>
      </c>
    </row>
    <row r="77" spans="1:18" s="2043" customFormat="1" ht="15.75" thickBot="1">
      <c r="A77" s="2080"/>
      <c r="B77" s="2081"/>
      <c r="C77" s="2081"/>
      <c r="K77" s="2070"/>
      <c r="O77" s="2361" t="s">
        <v>2377</v>
      </c>
      <c r="P77" s="2362" t="s">
        <v>2394</v>
      </c>
      <c r="Q77" s="2363" t="e">
        <f ca="1">Q67+Q68</f>
        <v>#DIV/0!</v>
      </c>
      <c r="R77" s="2366" t="s">
        <v>2378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1714</v>
      </c>
      <c r="B1" s="738"/>
      <c r="C1" s="773" t="s">
        <v>3094</v>
      </c>
      <c r="D1" s="3070" t="s">
        <v>3122</v>
      </c>
      <c r="E1" s="2350" t="s">
        <v>2360</v>
      </c>
      <c r="F1" s="2351">
        <f ca="1">J53</f>
        <v>36.78</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1715</v>
      </c>
      <c r="B2" s="775">
        <f ca="1">C40+J29+L46</f>
        <v>9940</v>
      </c>
      <c r="C2" s="2041"/>
      <c r="D2" s="2039"/>
      <c r="E2" s="2040"/>
      <c r="F2" s="2040"/>
      <c r="G2" s="1575"/>
      <c r="H2" s="2041"/>
      <c r="I2" s="2041"/>
      <c r="J2" s="2041"/>
      <c r="K2" s="2042"/>
      <c r="L2" s="2041"/>
      <c r="M2" s="2041"/>
    </row>
    <row r="3" spans="1:33" ht="18" customHeight="1" thickBot="1">
      <c r="A3" s="833" t="s">
        <v>1716</v>
      </c>
      <c r="B3" s="834">
        <f ca="1">IF(ISERROR(B2*10000/F43),0,ROUND(B2*10000/F43,0))</f>
        <v>4041</v>
      </c>
      <c r="C3" s="2041"/>
      <c r="D3" s="2039"/>
      <c r="E3" s="2040"/>
      <c r="F3" s="2040"/>
      <c r="G3" s="1575"/>
      <c r="H3" s="776" t="s">
        <v>686</v>
      </c>
      <c r="I3" s="1358"/>
      <c r="J3" s="1358"/>
      <c r="K3" s="1576"/>
      <c r="L3" s="1358"/>
      <c r="M3" s="1358"/>
    </row>
    <row r="4" spans="1:33" ht="18" customHeight="1">
      <c r="A4" s="777" t="s">
        <v>1717</v>
      </c>
      <c r="B4" s="778" t="s">
        <v>1718</v>
      </c>
      <c r="C4" s="778" t="s">
        <v>1719</v>
      </c>
      <c r="D4" s="778" t="s">
        <v>624</v>
      </c>
      <c r="E4" s="779" t="s">
        <v>1720</v>
      </c>
      <c r="F4" s="780"/>
      <c r="G4" s="1577"/>
      <c r="H4" s="777" t="s">
        <v>1721</v>
      </c>
      <c r="I4" s="778" t="s">
        <v>1722</v>
      </c>
      <c r="J4" s="778" t="s">
        <v>1723</v>
      </c>
      <c r="K4" s="778" t="s">
        <v>1724</v>
      </c>
      <c r="L4" s="779" t="s">
        <v>1725</v>
      </c>
      <c r="M4" s="780"/>
    </row>
    <row r="5" spans="1:33" ht="18" customHeight="1">
      <c r="A5" s="781">
        <v>1</v>
      </c>
      <c r="B5" s="782" t="s">
        <v>2444</v>
      </c>
      <c r="C5" s="55">
        <f ca="1">C6+C10+C12</f>
        <v>809</v>
      </c>
      <c r="D5" s="2459" t="s">
        <v>2447</v>
      </c>
      <c r="E5" s="2453"/>
      <c r="F5" s="2454"/>
      <c r="G5" s="1577"/>
      <c r="H5" s="781">
        <v>1</v>
      </c>
      <c r="I5" s="782" t="s">
        <v>2444</v>
      </c>
      <c r="J5" s="55">
        <f ca="1">J6+J10+J12</f>
        <v>0</v>
      </c>
      <c r="K5" s="2459" t="s">
        <v>2447</v>
      </c>
      <c r="L5" s="2453"/>
      <c r="M5" s="2454"/>
    </row>
    <row r="6" spans="1:33" ht="18" customHeight="1">
      <c r="A6" s="1814" t="s">
        <v>1813</v>
      </c>
      <c r="B6" s="3472" t="s">
        <v>2449</v>
      </c>
      <c r="C6" s="783">
        <f ca="1">ROUND(F6*F8*F7*(1-F9)/10000,0)</f>
        <v>808</v>
      </c>
      <c r="D6" s="2460" t="s">
        <v>2448</v>
      </c>
      <c r="E6" s="784" t="s">
        <v>1727</v>
      </c>
      <c r="F6" s="785">
        <f ca="1">INDIRECT("'数据-取费表'!u"&amp;$G$1)</f>
        <v>1</v>
      </c>
      <c r="G6" s="1577"/>
      <c r="H6" s="2467" t="s">
        <v>2454</v>
      </c>
      <c r="I6" s="3472" t="s">
        <v>2449</v>
      </c>
      <c r="J6" s="783">
        <f ca="1">ROUND(M6*M8*M7*(1-M9)/10000,0)</f>
        <v>0</v>
      </c>
      <c r="K6" s="341" t="s">
        <v>1726</v>
      </c>
      <c r="L6" s="784" t="s">
        <v>1727</v>
      </c>
      <c r="M6" s="785">
        <f ca="1">INDIRECT("'数据-取费表'!z"&amp;$G$1)</f>
        <v>0</v>
      </c>
    </row>
    <row r="7" spans="1:33" ht="18" customHeight="1">
      <c r="A7" s="2463"/>
      <c r="B7" s="3473"/>
      <c r="C7" s="788"/>
      <c r="D7" s="789"/>
      <c r="E7" s="784" t="s">
        <v>1728</v>
      </c>
      <c r="F7" s="785">
        <f ca="1">IF(INDIRECT("'数据-取费表'!ah"&amp;$G$1)="",INDIRECT("'数据-取费表'!k"&amp;$G$1),INDIRECT("'数据-取费表'!ah"&amp;$G$1))</f>
        <v>24597.9</v>
      </c>
      <c r="G7" s="1577"/>
      <c r="H7" s="2452"/>
      <c r="I7" s="3473"/>
      <c r="J7" s="788"/>
      <c r="K7" s="789"/>
      <c r="L7" s="784" t="s">
        <v>1728</v>
      </c>
      <c r="M7" s="785">
        <f ca="1">F7</f>
        <v>24597.9</v>
      </c>
    </row>
    <row r="8" spans="1:33" ht="18" customHeight="1">
      <c r="A8" s="2456"/>
      <c r="B8" s="3474"/>
      <c r="C8" s="788"/>
      <c r="D8" s="789"/>
      <c r="E8" s="784" t="s">
        <v>1729</v>
      </c>
      <c r="F8" s="785">
        <f ca="1">INDIRECT("'数据-取费表'!ai"&amp;$G$1)</f>
        <v>365</v>
      </c>
      <c r="G8" s="1577"/>
      <c r="H8" s="2452"/>
      <c r="I8" s="3474"/>
      <c r="J8" s="788"/>
      <c r="K8" s="789"/>
      <c r="L8" s="784" t="s">
        <v>1729</v>
      </c>
      <c r="M8" s="785">
        <f ca="1">INDIRECT("'数据-取费表'!ai"&amp;$G$1)</f>
        <v>365</v>
      </c>
    </row>
    <row r="9" spans="1:33" ht="18" customHeight="1">
      <c r="A9" s="786"/>
      <c r="B9" s="3475"/>
      <c r="C9" s="788"/>
      <c r="D9" s="789"/>
      <c r="E9" s="784" t="s">
        <v>1730</v>
      </c>
      <c r="F9" s="794">
        <f ca="1">INDIRECT("'数据-取费表'!w"&amp;$G$1)</f>
        <v>0.1</v>
      </c>
      <c r="G9" s="1577"/>
      <c r="H9" s="2468"/>
      <c r="I9" s="3474"/>
      <c r="J9" s="788"/>
      <c r="K9" s="789"/>
      <c r="L9" s="795" t="s">
        <v>1730</v>
      </c>
      <c r="M9" s="796">
        <f ca="1">INDIRECT("'数据-取费表'!ab"&amp;$G$1)</f>
        <v>0</v>
      </c>
    </row>
    <row r="10" spans="1:33" ht="18" customHeight="1">
      <c r="A10" s="1814" t="s">
        <v>2452</v>
      </c>
      <c r="B10" s="2457" t="s">
        <v>2445</v>
      </c>
      <c r="C10" s="799">
        <f ca="1">ROUND(IF(F10="押一",C6/12*F11,IF(F10="押二",C6/12*2*F11,IF(F10="押三",C6/12*3*F11,C11*F11))),0)</f>
        <v>1</v>
      </c>
      <c r="D10" s="2464" t="s">
        <v>2960</v>
      </c>
      <c r="E10" s="2461" t="s">
        <v>2450</v>
      </c>
      <c r="F10" s="2584" t="s">
        <v>3119</v>
      </c>
      <c r="G10" s="1577"/>
      <c r="H10" s="2524" t="s">
        <v>2455</v>
      </c>
      <c r="I10" s="2529" t="s">
        <v>2445</v>
      </c>
      <c r="J10" s="783">
        <f ca="1">ROUND(IF(M10="押一",J6/12*M11,IF(M10="押二",J6/12*2*M11,IF(M10="押三",J6/12*3*M11,J11*M11))),0)</f>
        <v>0</v>
      </c>
      <c r="K10" s="2464" t="s">
        <v>2960</v>
      </c>
      <c r="L10" s="2461" t="s">
        <v>2450</v>
      </c>
      <c r="M10" s="2584"/>
    </row>
    <row r="11" spans="1:33" ht="18" customHeight="1">
      <c r="A11" s="790"/>
      <c r="B11" s="2458" t="s">
        <v>2559</v>
      </c>
      <c r="C11" s="2462"/>
      <c r="D11" s="789"/>
      <c r="E11" s="2461" t="s">
        <v>2451</v>
      </c>
      <c r="F11" s="796">
        <f ca="1">'数据-取费表'!B39</f>
        <v>1.4999999999999999E-2</v>
      </c>
      <c r="G11" s="1577"/>
      <c r="H11" s="2525"/>
      <c r="I11" s="2458" t="s">
        <v>2559</v>
      </c>
      <c r="J11" s="2462"/>
      <c r="K11" s="2526"/>
      <c r="L11" s="2461" t="s">
        <v>2451</v>
      </c>
      <c r="M11" s="2455">
        <f ca="1">'数据-取费表'!B39</f>
        <v>1.4999999999999999E-2</v>
      </c>
    </row>
    <row r="12" spans="1:33" ht="18" customHeight="1" thickBot="1">
      <c r="A12" s="2500" t="s">
        <v>2453</v>
      </c>
      <c r="B12" s="2501" t="s">
        <v>2446</v>
      </c>
      <c r="C12" s="2502"/>
      <c r="D12" s="2503"/>
      <c r="E12" s="2504"/>
      <c r="F12" s="2505"/>
      <c r="G12" s="1577"/>
      <c r="H12" s="2514" t="s">
        <v>2456</v>
      </c>
      <c r="I12" s="2527" t="s">
        <v>2446</v>
      </c>
      <c r="J12" s="2528"/>
      <c r="K12" s="2503"/>
      <c r="L12" s="2504"/>
      <c r="M12" s="2517"/>
    </row>
    <row r="13" spans="1:33" ht="18" customHeight="1" thickTop="1">
      <c r="A13" s="1813">
        <v>2</v>
      </c>
      <c r="B13" s="1811" t="s">
        <v>1731</v>
      </c>
      <c r="C13" s="792">
        <f ca="1">ROUND(C29*F13,0)</f>
        <v>13420</v>
      </c>
      <c r="D13" s="1818" t="s">
        <v>2283</v>
      </c>
      <c r="E13" s="1818" t="s">
        <v>1733</v>
      </c>
      <c r="F13" s="2499">
        <f ca="1">INDIRECT("'数据-取费表'!y"&amp;$G$1)</f>
        <v>1</v>
      </c>
      <c r="G13" s="1577"/>
      <c r="H13" s="1813">
        <v>2</v>
      </c>
      <c r="I13" s="1811" t="s">
        <v>1731</v>
      </c>
      <c r="J13" s="1803">
        <f ca="1">ROUND(J14*J15,0)</f>
        <v>0</v>
      </c>
      <c r="K13" s="1805" t="s">
        <v>1732</v>
      </c>
      <c r="L13" s="2515"/>
      <c r="M13" s="2516"/>
    </row>
    <row r="14" spans="1:33" ht="18" customHeight="1">
      <c r="A14" s="1632" t="s">
        <v>1873</v>
      </c>
      <c r="B14" s="784" t="s">
        <v>636</v>
      </c>
      <c r="C14" s="804">
        <f ca="1">INDIRECT("'数据-取费表'!m"&amp;$G$1)+INDIRECT("'数据-取费表'!t"&amp;$G$1)</f>
        <v>8745</v>
      </c>
      <c r="D14" s="1963" t="s">
        <v>1734</v>
      </c>
      <c r="E14" s="1964"/>
      <c r="F14" s="805"/>
      <c r="G14" s="1577"/>
      <c r="H14" s="1633" t="s">
        <v>1819</v>
      </c>
      <c r="I14" s="2215" t="s">
        <v>2811</v>
      </c>
      <c r="J14" s="53">
        <f ca="1">C29</f>
        <v>13420</v>
      </c>
      <c r="K14" s="26"/>
      <c r="L14" s="801"/>
      <c r="M14" s="802"/>
    </row>
    <row r="15" spans="1:33" s="2048" customFormat="1" ht="18" customHeight="1" thickBot="1">
      <c r="A15" s="1632" t="s">
        <v>1874</v>
      </c>
      <c r="B15" s="784" t="s">
        <v>638</v>
      </c>
      <c r="C15" s="53">
        <f ca="1">ROUND(C14*F15,0)</f>
        <v>262</v>
      </c>
      <c r="D15" s="806" t="s">
        <v>1735</v>
      </c>
      <c r="E15" s="806" t="s">
        <v>1736</v>
      </c>
      <c r="F15" s="807">
        <f>'数据-取费表'!B33</f>
        <v>0.03</v>
      </c>
      <c r="G15" s="1578"/>
      <c r="H15" s="2514" t="s">
        <v>1878</v>
      </c>
      <c r="I15" s="2509" t="s">
        <v>1733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1875</v>
      </c>
      <c r="B16" s="784" t="s">
        <v>641</v>
      </c>
      <c r="C16" s="53">
        <f ca="1">ROUND(INDIRECT("'数据-取费表'!m"&amp;$G$1)*F16,0)</f>
        <v>0</v>
      </c>
      <c r="D16" s="784" t="s">
        <v>1735</v>
      </c>
      <c r="E16" s="784" t="s">
        <v>1736</v>
      </c>
      <c r="F16" s="809">
        <f ca="1">IF(INDIRECT("'数据-取费表'!c"&amp;$G$1)="住宅",'数据-取费表'!B34,0)</f>
        <v>0</v>
      </c>
      <c r="G16" s="1577"/>
      <c r="H16" s="1813" t="s">
        <v>1737</v>
      </c>
      <c r="I16" s="1811" t="s">
        <v>1738</v>
      </c>
      <c r="J16" s="792">
        <f ca="1">ROUND(J17+J22+J23+J24,0)</f>
        <v>1340</v>
      </c>
      <c r="K16" s="1805" t="s">
        <v>1739</v>
      </c>
      <c r="L16" s="2449"/>
      <c r="M16" s="2454"/>
    </row>
    <row r="17" spans="1:33" s="2048" customFormat="1" ht="18" customHeight="1">
      <c r="A17" s="1632" t="s">
        <v>1876</v>
      </c>
      <c r="B17" s="784" t="s">
        <v>644</v>
      </c>
      <c r="C17" s="53">
        <f ca="1">ROUND(F17*(F43+INDIRECT("'数据-取费表'!S"&amp;$G$1))/10000,0)</f>
        <v>583</v>
      </c>
      <c r="D17" s="784" t="s">
        <v>1740</v>
      </c>
      <c r="E17" s="784" t="s">
        <v>1741</v>
      </c>
      <c r="F17" s="56">
        <f>'数据-取费表'!B35</f>
        <v>200</v>
      </c>
      <c r="G17" s="1578"/>
      <c r="H17" s="1633" t="s">
        <v>1819</v>
      </c>
      <c r="I17" s="784" t="s">
        <v>647</v>
      </c>
      <c r="J17" s="53">
        <f ca="1">ROUND(IF(项目基本情况!B11="自然人",J6*M17/(1+'数据-取费表'!C42),J18+J19+J20),0)</f>
        <v>1139</v>
      </c>
      <c r="K17" s="2448" t="s">
        <v>1742</v>
      </c>
      <c r="L17" s="2447" t="s">
        <v>1743</v>
      </c>
      <c r="M17" s="810">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1877</v>
      </c>
      <c r="B18" s="784" t="s">
        <v>650</v>
      </c>
      <c r="C18" s="53">
        <f ca="1">ROUND(C14*F18,0)</f>
        <v>131</v>
      </c>
      <c r="D18" s="784" t="s">
        <v>1735</v>
      </c>
      <c r="E18" s="784" t="s">
        <v>1736</v>
      </c>
      <c r="F18" s="809">
        <f>'数据-取费表'!B36</f>
        <v>1.4999999999999999E-2</v>
      </c>
      <c r="G18" s="1578"/>
      <c r="H18" s="1632" t="s">
        <v>1873</v>
      </c>
      <c r="I18" s="784" t="s">
        <v>1744</v>
      </c>
      <c r="J18" s="53">
        <f ca="1">ROUND(J6*M18/(1+'数据-取费表'!C42),1)</f>
        <v>0</v>
      </c>
      <c r="K18" s="2447" t="s">
        <v>1745</v>
      </c>
      <c r="L18" s="784" t="s">
        <v>1736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1819</v>
      </c>
      <c r="B19" s="784" t="s">
        <v>653</v>
      </c>
      <c r="C19" s="53">
        <f ca="1">SUM(C14:C18)</f>
        <v>9721</v>
      </c>
      <c r="D19" s="261" t="s">
        <v>1746</v>
      </c>
      <c r="E19" s="1966"/>
      <c r="F19" s="56"/>
      <c r="G19" s="1577"/>
      <c r="H19" s="1632" t="s">
        <v>1874</v>
      </c>
      <c r="I19" s="784" t="s">
        <v>1747</v>
      </c>
      <c r="J19" s="53">
        <f ca="1">IF(K19="按租金收入计税",ROUND(J6*M19/(1+'数据-取费表'!C42),1),ROUND(C29*F33*0.7,1))</f>
        <v>1127.3</v>
      </c>
      <c r="K19" s="811" t="s">
        <v>656</v>
      </c>
      <c r="L19" s="784" t="s">
        <v>1736</v>
      </c>
      <c r="M19" s="809">
        <f>IF(K19="按租金收入计税",'数据-取费表'!B51,'数据-取费表'!B50)</f>
        <v>1.2E-2</v>
      </c>
    </row>
    <row r="20" spans="1:33" s="2048" customFormat="1" ht="18" customHeight="1">
      <c r="A20" s="1633" t="s">
        <v>1878</v>
      </c>
      <c r="B20" s="784" t="s">
        <v>657</v>
      </c>
      <c r="C20" s="53">
        <f ca="1">ROUND(C19*F20,0)</f>
        <v>194</v>
      </c>
      <c r="D20" s="812" t="s">
        <v>1748</v>
      </c>
      <c r="E20" s="784" t="s">
        <v>1736</v>
      </c>
      <c r="F20" s="809">
        <f>'数据-取费表'!B37</f>
        <v>0.02</v>
      </c>
      <c r="G20" s="1578"/>
      <c r="H20" s="1635" t="s">
        <v>1869</v>
      </c>
      <c r="I20" s="341" t="s">
        <v>1749</v>
      </c>
      <c r="J20" s="54">
        <f ca="1">ROUND(M20*M21/10000,0)</f>
        <v>12</v>
      </c>
      <c r="K20" s="814" t="s">
        <v>1750</v>
      </c>
      <c r="L20" s="784" t="s">
        <v>1751</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1879</v>
      </c>
      <c r="B21" s="784" t="s">
        <v>1752</v>
      </c>
      <c r="C21" s="53" t="s">
        <v>1753</v>
      </c>
      <c r="D21" s="812" t="s">
        <v>2284</v>
      </c>
      <c r="E21" s="784" t="s">
        <v>1754</v>
      </c>
      <c r="F21" s="809">
        <f>'数据-取费表'!B38</f>
        <v>0.02</v>
      </c>
      <c r="G21" s="1578"/>
      <c r="H21" s="2469"/>
      <c r="I21" s="793"/>
      <c r="J21" s="69"/>
      <c r="K21" s="816"/>
      <c r="L21" s="784" t="s">
        <v>1755</v>
      </c>
      <c r="M21" s="785">
        <f ca="1">INDIRECT("'数据-取费表'!r"&amp;$G$1)</f>
        <v>10282.359999999999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1880</v>
      </c>
      <c r="B22" s="784" t="s">
        <v>1756</v>
      </c>
      <c r="C22" s="53"/>
      <c r="D22" s="2535" t="str">
        <f>IF(F23&lt;=1,"单利计息。","复利计息。")&amp;"建造成本、管理费用、销售费用产生的利息。"</f>
        <v>复利计息。建造成本、管理费用、销售费用产生的利息。</v>
      </c>
      <c r="E22" s="1966"/>
      <c r="F22" s="56"/>
      <c r="G22" s="1577"/>
      <c r="H22" s="1633" t="s">
        <v>1878</v>
      </c>
      <c r="I22" s="784" t="s">
        <v>1757</v>
      </c>
      <c r="J22" s="53">
        <f ca="1">ROUND(J14*M22,0)</f>
        <v>201</v>
      </c>
      <c r="K22" s="2447" t="s">
        <v>1758</v>
      </c>
      <c r="L22" s="784" t="s">
        <v>1736</v>
      </c>
      <c r="M22" s="817">
        <f ca="1">INDIRECT("'数据-取费表'!Ak"&amp;$G$1)</f>
        <v>1.4999999999999999E-2</v>
      </c>
    </row>
    <row r="23" spans="1:33" s="2048" customFormat="1" ht="18" customHeight="1">
      <c r="A23" s="1632" t="s">
        <v>1820</v>
      </c>
      <c r="B23" s="784" t="s">
        <v>2521</v>
      </c>
      <c r="C23" s="53">
        <f ca="1">ROUND(IF('数据-取费表'!B22&lt;=1,(C19+C20)*F24*F23/2,(C19+C20)*(POWER((1+F24),F23/2)-1)),0)</f>
        <v>471</v>
      </c>
      <c r="D23" s="2534" t="str">
        <f>IF(F23&lt;=1,"(建造成本+管理费用)×利率×(建设周期÷2)","(建造成本+管理费用)×((1+利率)^(建设周期÷2)-1)")</f>
        <v>(建造成本+管理费用)×((1+利率)^(建设周期÷2)-1)</v>
      </c>
      <c r="E23" s="784" t="s">
        <v>1759</v>
      </c>
      <c r="F23" s="640">
        <f>'数据-取费表'!B20</f>
        <v>2</v>
      </c>
      <c r="G23" s="1578"/>
      <c r="H23" s="1633" t="s">
        <v>1879</v>
      </c>
      <c r="I23" s="784" t="s">
        <v>670</v>
      </c>
      <c r="J23" s="53">
        <f ca="1">ROUND(J13*M23,0)</f>
        <v>0</v>
      </c>
      <c r="K23" s="2447" t="s">
        <v>1760</v>
      </c>
      <c r="L23" s="784" t="s">
        <v>1736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1821</v>
      </c>
      <c r="B24" s="784" t="s">
        <v>1761</v>
      </c>
      <c r="C24" s="53">
        <f ca="1">ROUND(IF('数据-取费表'!B22&lt;=1,F21*F24*F23/2,F21*(POWER((1+F24),F23/2)-1)),4)</f>
        <v>1E-3</v>
      </c>
      <c r="D24" s="2534" t="str">
        <f>IF(F23&lt;=1,"销售费用×利率×(建设周期÷2)","销售费用×((1+利率)^(建设周期÷2)-1)")</f>
        <v>销售费用×((1+利率)^(建设周期÷2)-1)</v>
      </c>
      <c r="E24" s="784" t="s">
        <v>1762</v>
      </c>
      <c r="F24" s="819">
        <f ca="1">'数据-取费表'!B40</f>
        <v>4.7500000000000001E-2</v>
      </c>
      <c r="G24" s="1578"/>
      <c r="H24" s="2514" t="s">
        <v>1880</v>
      </c>
      <c r="I24" s="2509" t="s">
        <v>657</v>
      </c>
      <c r="J24" s="2507">
        <f ca="1">ROUND(J5*M24,0)</f>
        <v>0</v>
      </c>
      <c r="K24" s="2508" t="s">
        <v>1763</v>
      </c>
      <c r="L24" s="2509" t="s">
        <v>1736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1829</v>
      </c>
      <c r="B25" s="784" t="s">
        <v>675</v>
      </c>
      <c r="C25" s="53"/>
      <c r="D25" s="261" t="s">
        <v>1764</v>
      </c>
      <c r="E25" s="1966"/>
      <c r="F25" s="56"/>
      <c r="G25" s="1577"/>
      <c r="H25" s="1813" t="s">
        <v>1765</v>
      </c>
      <c r="I25" s="2961" t="s">
        <v>2807</v>
      </c>
      <c r="J25" s="792">
        <f ca="1">J5-J16</f>
        <v>-1340</v>
      </c>
      <c r="K25" s="2511" t="s">
        <v>1766</v>
      </c>
      <c r="L25" s="2512"/>
      <c r="M25" s="2513"/>
    </row>
    <row r="26" spans="1:33" ht="18" customHeight="1">
      <c r="A26" s="1632" t="s">
        <v>1820</v>
      </c>
      <c r="B26" s="784" t="s">
        <v>2424</v>
      </c>
      <c r="C26" s="53">
        <f ca="1">ROUND((C19+C20)*F26,0)</f>
        <v>1983</v>
      </c>
      <c r="D26" s="812" t="s">
        <v>1767</v>
      </c>
      <c r="E26" s="795" t="s">
        <v>1768</v>
      </c>
      <c r="F26" s="794">
        <f ca="1">INDIRECT("'数据-取费表'!q"&amp;$G$1)</f>
        <v>0.2</v>
      </c>
      <c r="G26" s="1577"/>
      <c r="H26" s="2465" t="s">
        <v>1769</v>
      </c>
      <c r="I26" s="2216" t="s">
        <v>2812</v>
      </c>
      <c r="J26" s="783">
        <f ca="1">IF(J5&lt;&gt;0,ROUND(J25*(1-((1+M28)/(1+M26))^M27)/(M26-M28),0),0)</f>
        <v>0</v>
      </c>
      <c r="K26" s="814" t="s">
        <v>1770</v>
      </c>
      <c r="L26" s="784" t="s">
        <v>2405</v>
      </c>
      <c r="M26" s="794">
        <f ca="1">INDIRECT("'数据-取费表'!I"&amp;$G$1)</f>
        <v>5.5E-2</v>
      </c>
    </row>
    <row r="27" spans="1:33" ht="18" customHeight="1">
      <c r="A27" s="1632" t="s">
        <v>1821</v>
      </c>
      <c r="B27" s="784" t="s">
        <v>677</v>
      </c>
      <c r="C27" s="53">
        <f ca="1">ROUND(F21*F26,4)</f>
        <v>4.0000000000000001E-3</v>
      </c>
      <c r="D27" s="812" t="s">
        <v>1771</v>
      </c>
      <c r="E27" s="806"/>
      <c r="F27" s="807"/>
      <c r="G27" s="1577"/>
      <c r="H27" s="2466"/>
      <c r="I27" s="787"/>
      <c r="J27" s="788"/>
      <c r="K27" s="821" t="s">
        <v>1772</v>
      </c>
      <c r="L27" s="784" t="s">
        <v>1773</v>
      </c>
      <c r="M27" s="822">
        <f ca="1">INDIRECT("'数据-取费表'!ag"&amp;$G$1)</f>
        <v>0</v>
      </c>
    </row>
    <row r="28" spans="1:33" s="2048" customFormat="1" ht="18" customHeight="1">
      <c r="A28" s="1634" t="s">
        <v>1830</v>
      </c>
      <c r="B28" s="784" t="s">
        <v>678</v>
      </c>
      <c r="C28" s="53">
        <f>ROUND(F28/(1+'数据-取费表'!C42),4)</f>
        <v>5.33E-2</v>
      </c>
      <c r="D28" s="812" t="s">
        <v>2285</v>
      </c>
      <c r="E28" s="784" t="s">
        <v>1774</v>
      </c>
      <c r="F28" s="809">
        <f>'数据-取费表'!B41</f>
        <v>5.6000000000000001E-2</v>
      </c>
      <c r="G28" s="1578"/>
      <c r="H28" s="1813"/>
      <c r="I28" s="791"/>
      <c r="J28" s="792"/>
      <c r="K28" s="816"/>
      <c r="L28" s="784" t="s">
        <v>1775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1881</v>
      </c>
      <c r="B29" s="2504" t="s">
        <v>2286</v>
      </c>
      <c r="C29" s="2507">
        <f ca="1">ROUND((C19+C20+C23+C26)/(1-F21-C24-C27-C28),0)</f>
        <v>13420</v>
      </c>
      <c r="D29" s="2508"/>
      <c r="E29" s="2509"/>
      <c r="F29" s="2510"/>
      <c r="G29" s="1578"/>
      <c r="H29" s="823" t="s">
        <v>1776</v>
      </c>
      <c r="I29" s="824" t="s">
        <v>1777</v>
      </c>
      <c r="J29" s="825">
        <f ca="1">ROUND(J26/(1+F40)^F41,0)</f>
        <v>0</v>
      </c>
      <c r="K29" s="826" t="s">
        <v>1778</v>
      </c>
      <c r="L29" s="827"/>
      <c r="M29" s="828">
        <f ca="1">INDIRECT("'数据-取费表'!k"&amp;$G$1)</f>
        <v>24597.9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1882</v>
      </c>
      <c r="B30" s="1811" t="s">
        <v>1779</v>
      </c>
      <c r="C30" s="792">
        <f ca="1">ROUND(C31+C36+C37+C38,0)</f>
        <v>385</v>
      </c>
      <c r="D30" s="1805" t="s">
        <v>1780</v>
      </c>
      <c r="E30" s="2449"/>
      <c r="F30" s="2454"/>
      <c r="G30" s="2046"/>
      <c r="H30" s="2049"/>
      <c r="I30" s="2050"/>
      <c r="J30" s="2051"/>
      <c r="K30" s="2052"/>
      <c r="L30" s="2053"/>
      <c r="M30" s="2054"/>
    </row>
    <row r="31" spans="1:33" ht="18" customHeight="1">
      <c r="A31" s="1633" t="s">
        <v>1819</v>
      </c>
      <c r="B31" s="784" t="s">
        <v>647</v>
      </c>
      <c r="C31" s="53">
        <f ca="1">ROUND(IF(项目基本情况!B11="自然人",C6*F31/(1+'数据-取费表'!C42),C32+C33+C34),1)</f>
        <v>147.69999999999999</v>
      </c>
      <c r="D31" s="1963" t="s">
        <v>1781</v>
      </c>
      <c r="E31" s="1961" t="s">
        <v>1782</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1820</v>
      </c>
      <c r="B32" s="784" t="s">
        <v>1783</v>
      </c>
      <c r="C32" s="53">
        <f ca="1">ROUND(C6*F32/(1+'数据-取费表'!C42),1)</f>
        <v>43.1</v>
      </c>
      <c r="D32" s="1961" t="s">
        <v>1784</v>
      </c>
      <c r="E32" s="784" t="s">
        <v>1785</v>
      </c>
      <c r="F32" s="809">
        <f>'数据-取费表'!B41</f>
        <v>5.6000000000000001E-2</v>
      </c>
      <c r="G32" s="2046"/>
      <c r="H32" s="2055"/>
      <c r="I32" s="2056"/>
      <c r="J32" s="2057"/>
      <c r="K32" s="2058"/>
      <c r="L32" s="2059"/>
      <c r="M32" s="2060"/>
    </row>
    <row r="33" spans="1:18" ht="18" customHeight="1">
      <c r="A33" s="1632" t="s">
        <v>1821</v>
      </c>
      <c r="B33" s="784" t="s">
        <v>1786</v>
      </c>
      <c r="C33" s="53">
        <f ca="1">IF(D33="按租金收入计税",ROUND(C6*F33/(1+'数据-取费表'!C42),1),IF(D33="按房产原值计税",ROUND(C29*F33*0.7,1),INDIRECT("'数据-取费表'!Aj"&amp;$G$1)))</f>
        <v>92.3</v>
      </c>
      <c r="D33" s="811" t="s">
        <v>3120</v>
      </c>
      <c r="E33" s="784" t="s">
        <v>1785</v>
      </c>
      <c r="F33" s="809">
        <f>IF(D33="按租金收入计税",'数据-取费表'!B51,'数据-取费表'!B50)</f>
        <v>0.12</v>
      </c>
      <c r="G33" s="2046"/>
      <c r="H33" s="2061"/>
      <c r="I33" s="2061"/>
      <c r="J33" s="2061"/>
      <c r="K33" s="2062"/>
      <c r="L33" s="2061"/>
      <c r="M33" s="2061"/>
    </row>
    <row r="34" spans="1:18" ht="18" customHeight="1">
      <c r="A34" s="1635" t="s">
        <v>1822</v>
      </c>
      <c r="B34" s="341" t="s">
        <v>1787</v>
      </c>
      <c r="C34" s="54">
        <f ca="1">ROUND(F34*F35/10000,1)</f>
        <v>12.3</v>
      </c>
      <c r="D34" s="814" t="s">
        <v>1788</v>
      </c>
      <c r="E34" s="784" t="s">
        <v>1789</v>
      </c>
      <c r="F34" s="640">
        <f>'数据-取费表'!B52</f>
        <v>12</v>
      </c>
      <c r="G34" s="2046"/>
      <c r="H34" s="2049"/>
      <c r="I34" s="835" t="s">
        <v>1802</v>
      </c>
      <c r="J34" s="836"/>
      <c r="K34" s="2064"/>
      <c r="L34" s="2063"/>
      <c r="M34" s="2063"/>
    </row>
    <row r="35" spans="1:18" ht="18" customHeight="1">
      <c r="A35" s="815"/>
      <c r="B35" s="793"/>
      <c r="C35" s="69"/>
      <c r="D35" s="816"/>
      <c r="E35" s="784" t="s">
        <v>1790</v>
      </c>
      <c r="F35" s="785">
        <f ca="1">INDIRECT("'数据-取费表'!r"&amp;$G$1)</f>
        <v>10282.359999999999</v>
      </c>
      <c r="G35" s="2046"/>
      <c r="H35" s="2049"/>
      <c r="I35" s="837" t="s">
        <v>1803</v>
      </c>
      <c r="J35" s="838">
        <f ca="1">ROUND(C13*J36,0)</f>
        <v>1141</v>
      </c>
      <c r="K35" s="2062"/>
      <c r="L35" s="2061"/>
      <c r="M35" s="2061"/>
    </row>
    <row r="36" spans="1:18" ht="18" customHeight="1">
      <c r="A36" s="1633" t="s">
        <v>1878</v>
      </c>
      <c r="B36" s="784" t="s">
        <v>1791</v>
      </c>
      <c r="C36" s="53">
        <f ca="1">ROUND(C29*F36,1)</f>
        <v>201.3</v>
      </c>
      <c r="D36" s="1961" t="s">
        <v>1792</v>
      </c>
      <c r="E36" s="784" t="s">
        <v>1785</v>
      </c>
      <c r="F36" s="817">
        <f ca="1">INDIRECT("'数据-取费表'!Ak"&amp;$G$1)</f>
        <v>1.4999999999999999E-2</v>
      </c>
      <c r="G36" s="2046"/>
      <c r="H36" s="2061"/>
      <c r="I36" s="839" t="s">
        <v>1804</v>
      </c>
      <c r="J36" s="840">
        <f ca="1">INDIRECT("'数据-取费表'!j"&amp;$G$1)</f>
        <v>8.5000000000000006E-2</v>
      </c>
      <c r="K36" s="2066"/>
      <c r="L36" s="2061"/>
      <c r="M36" s="2061"/>
    </row>
    <row r="37" spans="1:18" ht="18" customHeight="1">
      <c r="A37" s="1633" t="s">
        <v>1879</v>
      </c>
      <c r="B37" s="784" t="s">
        <v>670</v>
      </c>
      <c r="C37" s="53">
        <f ca="1">ROUND(C13*F37,1)</f>
        <v>20.100000000000001</v>
      </c>
      <c r="D37" s="1961" t="s">
        <v>1793</v>
      </c>
      <c r="E37" s="784" t="s">
        <v>1785</v>
      </c>
      <c r="F37" s="818">
        <f ca="1">INDIRECT("'数据-取费表'!Al"&amp;$G$1)</f>
        <v>1.5E-3</v>
      </c>
      <c r="G37" s="2046"/>
      <c r="H37" s="2061"/>
      <c r="I37" s="841" t="s">
        <v>1805</v>
      </c>
      <c r="J37" s="842"/>
      <c r="K37" s="2066"/>
      <c r="L37" s="2061"/>
      <c r="M37" s="2061"/>
    </row>
    <row r="38" spans="1:18" ht="18" customHeight="1" thickBot="1">
      <c r="A38" s="2514" t="s">
        <v>1880</v>
      </c>
      <c r="B38" s="2509" t="s">
        <v>657</v>
      </c>
      <c r="C38" s="2507">
        <f ca="1">ROUND(C5*F38,1)</f>
        <v>16.2</v>
      </c>
      <c r="D38" s="2508" t="s">
        <v>1794</v>
      </c>
      <c r="E38" s="2509" t="s">
        <v>1785</v>
      </c>
      <c r="F38" s="2505">
        <f ca="1">INDIRECT("'数据-取费表'!Am"&amp;$G$1)</f>
        <v>0.02</v>
      </c>
      <c r="G38" s="2046"/>
      <c r="H38" s="2061"/>
      <c r="I38" s="843" t="s">
        <v>1806</v>
      </c>
      <c r="J38" s="844"/>
      <c r="K38" s="2067"/>
      <c r="L38" s="2061"/>
      <c r="M38" s="2061"/>
    </row>
    <row r="39" spans="1:18" ht="24.6" customHeight="1" thickTop="1">
      <c r="A39" s="1813" t="s">
        <v>1883</v>
      </c>
      <c r="B39" s="2961" t="s">
        <v>2807</v>
      </c>
      <c r="C39" s="792">
        <f ca="1">C5-C30</f>
        <v>424</v>
      </c>
      <c r="D39" s="2511" t="s">
        <v>1795</v>
      </c>
      <c r="E39" s="2512"/>
      <c r="F39" s="2513"/>
      <c r="G39" s="2046"/>
      <c r="H39" s="2061"/>
      <c r="I39" s="837" t="s">
        <v>1807</v>
      </c>
      <c r="J39" s="845">
        <f ca="1">ROUND(J35/C39,3)</f>
        <v>2.6909999999999998</v>
      </c>
      <c r="K39" s="2067"/>
      <c r="L39" s="2061"/>
      <c r="M39" s="2061"/>
    </row>
    <row r="40" spans="1:18" ht="18" customHeight="1">
      <c r="A40" s="781" t="s">
        <v>1884</v>
      </c>
      <c r="B40" s="2216" t="s">
        <v>2287</v>
      </c>
      <c r="C40" s="783">
        <f ca="1">ROUND(C39*(1-((1+F42)/(1+F40))^F41)/(F40-F42),0)</f>
        <v>9940</v>
      </c>
      <c r="D40" s="814" t="s">
        <v>1796</v>
      </c>
      <c r="E40" s="784" t="s">
        <v>2405</v>
      </c>
      <c r="F40" s="794">
        <f ca="1">INDIRECT("'数据-取费表'!I"&amp;$G$1)</f>
        <v>5.5E-2</v>
      </c>
      <c r="G40" s="2046"/>
      <c r="H40" s="2046"/>
      <c r="I40" s="837" t="s">
        <v>1808</v>
      </c>
      <c r="J40" s="845">
        <f ca="1">1-J39</f>
        <v>-1.6909999999999998</v>
      </c>
      <c r="K40" s="2067"/>
      <c r="L40" s="2046"/>
      <c r="M40" s="2046"/>
    </row>
    <row r="41" spans="1:18" ht="18" customHeight="1">
      <c r="A41" s="786"/>
      <c r="B41" s="787"/>
      <c r="C41" s="788"/>
      <c r="D41" s="821" t="s">
        <v>1797</v>
      </c>
      <c r="E41" s="784" t="s">
        <v>2950</v>
      </c>
      <c r="F41" s="822">
        <f ca="1">IF(INDIRECT("'数据-取费表'!af"&amp;$G$1)=0,INDIRECT("'数据-取费表'!ae"&amp;$G$1),INDIRECT("'数据-取费表'!af"&amp;$G$1))</f>
        <v>36.78</v>
      </c>
      <c r="G41" s="2046"/>
      <c r="H41" s="1972"/>
      <c r="I41" s="843" t="s">
        <v>1809</v>
      </c>
      <c r="J41" s="846"/>
      <c r="K41" s="2066"/>
      <c r="L41" s="1972"/>
      <c r="M41" s="1972"/>
    </row>
    <row r="42" spans="1:18" ht="18" customHeight="1">
      <c r="A42" s="790"/>
      <c r="B42" s="791"/>
      <c r="C42" s="792"/>
      <c r="D42" s="816"/>
      <c r="E42" s="784" t="s">
        <v>1798</v>
      </c>
      <c r="F42" s="794">
        <f ca="1">INDIRECT("'数据-取费表'!v"&amp;$G$1)</f>
        <v>0.03</v>
      </c>
      <c r="G42" s="2046"/>
      <c r="H42" s="1972"/>
      <c r="I42" s="847" t="s">
        <v>1810</v>
      </c>
      <c r="J42" s="845">
        <f ca="1">ROUND(C13/C40,3)</f>
        <v>1.35</v>
      </c>
      <c r="K42" s="2066"/>
      <c r="L42" s="1972"/>
      <c r="M42" s="1972"/>
    </row>
    <row r="43" spans="1:18" ht="18" customHeight="1" thickBot="1">
      <c r="A43" s="823" t="s">
        <v>1776</v>
      </c>
      <c r="B43" s="824" t="s">
        <v>1799</v>
      </c>
      <c r="C43" s="825">
        <f ca="1">ROUND(C40*10000/F43,0)</f>
        <v>4041</v>
      </c>
      <c r="D43" s="826" t="s">
        <v>1800</v>
      </c>
      <c r="E43" s="827" t="s">
        <v>1801</v>
      </c>
      <c r="F43" s="828">
        <f ca="1">INDIRECT("'数据-取费表'!k"&amp;$G$1)</f>
        <v>24597.9</v>
      </c>
      <c r="G43" s="2046"/>
      <c r="H43" s="1972"/>
      <c r="I43" s="847" t="s">
        <v>1811</v>
      </c>
      <c r="J43" s="848">
        <f ca="1">1-J42</f>
        <v>-0.35000000000000009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2281</v>
      </c>
      <c r="B46" s="2069"/>
      <c r="C46" s="2537">
        <f ca="1">C67-C40</f>
        <v>-13601</v>
      </c>
      <c r="D46" s="2069"/>
      <c r="E46" s="2069"/>
      <c r="F46" s="2069"/>
      <c r="I46" s="2341" t="s">
        <v>2329</v>
      </c>
      <c r="J46" s="2342"/>
      <c r="K46" s="2343"/>
      <c r="L46" s="3101">
        <f>IF(OR(M47="住宅",D1="土地（套用方法）"),0,IF(L48&gt;J51,L60,J60))</f>
        <v>0</v>
      </c>
      <c r="O46" s="2357" t="s">
        <v>2396</v>
      </c>
      <c r="P46" s="1577"/>
      <c r="Q46" s="1588"/>
      <c r="R46" s="1577"/>
    </row>
    <row r="47" spans="1:18" s="2043" customFormat="1" ht="18" customHeight="1" thickBot="1">
      <c r="A47" s="2335">
        <v>1</v>
      </c>
      <c r="B47" s="2336" t="s">
        <v>626</v>
      </c>
      <c r="C47" s="2537">
        <f ca="1">C48+C52+C54</f>
        <v>0</v>
      </c>
      <c r="D47" s="2069"/>
      <c r="E47" s="2069"/>
      <c r="F47" s="2069"/>
      <c r="I47" s="3092" t="s">
        <v>2330</v>
      </c>
      <c r="J47" s="2344" t="s">
        <v>3121</v>
      </c>
      <c r="K47" s="3098" t="s">
        <v>2335</v>
      </c>
      <c r="L47" s="3102">
        <f ca="1">INDIRECT("'数据-取费表'!d"&amp;$G$1)</f>
        <v>40</v>
      </c>
      <c r="M47" s="1588" t="str">
        <f>IF(ISNUMBER(FIND("住宅",C1)),"住宅","非住宅")</f>
        <v>非住宅</v>
      </c>
      <c r="O47" s="2358" t="s">
        <v>2361</v>
      </c>
      <c r="P47" s="2359" t="s">
        <v>2362</v>
      </c>
      <c r="Q47" s="2360" t="s">
        <v>2363</v>
      </c>
      <c r="R47" s="2359" t="s">
        <v>2364</v>
      </c>
    </row>
    <row r="48" spans="1:18" s="2043" customFormat="1" ht="18" customHeight="1" thickBot="1">
      <c r="A48" s="2605" t="s">
        <v>2523</v>
      </c>
      <c r="B48" s="2606" t="s">
        <v>2524</v>
      </c>
      <c r="C48" s="2337">
        <f ca="1">ROUND(F48*F50*F49*(1-F51)/10000,0)</f>
        <v>0</v>
      </c>
      <c r="D48" s="2338" t="s">
        <v>627</v>
      </c>
      <c r="E48" s="2339" t="s">
        <v>2282</v>
      </c>
      <c r="F48" s="2340"/>
      <c r="G48" s="2074"/>
      <c r="I48" s="3071" t="s">
        <v>2331</v>
      </c>
      <c r="J48" s="2345" t="s">
        <v>2336</v>
      </c>
      <c r="K48" s="3099" t="s">
        <v>2337</v>
      </c>
      <c r="L48" s="1892">
        <f ca="1">INDIRECT("'数据-取费表'!f"&amp;$G$1)</f>
        <v>38.78</v>
      </c>
      <c r="O48" s="2361" t="s">
        <v>2365</v>
      </c>
      <c r="P48" s="2362" t="s">
        <v>2391</v>
      </c>
      <c r="Q48" s="2363">
        <f ca="1">C40+J29</f>
        <v>9940</v>
      </c>
      <c r="R48" s="2362" t="s">
        <v>2366</v>
      </c>
    </row>
    <row r="49" spans="1:18" s="2043" customFormat="1" ht="18" customHeight="1" thickBot="1">
      <c r="A49" s="786"/>
      <c r="B49" s="787"/>
      <c r="C49" s="788"/>
      <c r="D49" s="789"/>
      <c r="E49" s="784" t="s">
        <v>1728</v>
      </c>
      <c r="F49" s="785">
        <f ca="1">F7</f>
        <v>24597.9</v>
      </c>
      <c r="G49" s="2074"/>
      <c r="H49" s="2077"/>
      <c r="I49" s="3071" t="s">
        <v>2332</v>
      </c>
      <c r="J49" s="2346">
        <v>2022</v>
      </c>
      <c r="K49" s="3100" t="s">
        <v>2338</v>
      </c>
      <c r="L49" s="2347"/>
      <c r="O49" s="2361" t="s">
        <v>2367</v>
      </c>
      <c r="P49" s="2362" t="s">
        <v>2392</v>
      </c>
      <c r="Q49" s="2363" t="str">
        <f ca="1">J60</f>
        <v>0</v>
      </c>
      <c r="R49" s="2362" t="s">
        <v>2368</v>
      </c>
    </row>
    <row r="50" spans="1:18" s="2043" customFormat="1" ht="18" customHeight="1" thickBot="1">
      <c r="A50" s="786"/>
      <c r="B50" s="787"/>
      <c r="C50" s="788"/>
      <c r="D50" s="789"/>
      <c r="E50" s="784" t="s">
        <v>1729</v>
      </c>
      <c r="F50" s="785">
        <f ca="1">F8</f>
        <v>365</v>
      </c>
      <c r="G50" s="2079"/>
      <c r="H50" s="2077"/>
      <c r="I50" s="3071" t="s">
        <v>2333</v>
      </c>
      <c r="J50" s="3096">
        <f>SUMPRODUCT((I63:I65=J47)*(J62:L62=J48)*(J63:L65))</f>
        <v>60</v>
      </c>
      <c r="K50" s="3100" t="s">
        <v>2339</v>
      </c>
      <c r="L50" s="2347"/>
      <c r="O50" s="2364" t="s">
        <v>2369</v>
      </c>
      <c r="P50" s="2362" t="s">
        <v>2393</v>
      </c>
      <c r="Q50" s="2363">
        <f ca="1">C29</f>
        <v>13420</v>
      </c>
      <c r="R50" s="2362" t="s">
        <v>2366</v>
      </c>
    </row>
    <row r="51" spans="1:18" s="2043" customFormat="1" ht="18" customHeight="1" thickBot="1">
      <c r="A51" s="786"/>
      <c r="B51" s="787"/>
      <c r="C51" s="788"/>
      <c r="D51" s="789"/>
      <c r="E51" s="784" t="s">
        <v>631</v>
      </c>
      <c r="F51" s="2334"/>
      <c r="H51" s="2077"/>
      <c r="I51" s="3093" t="s">
        <v>2334</v>
      </c>
      <c r="J51" s="3097">
        <f>IF(J49="",J50,J49+J50-YEAR('数据-取费表'!B2))</f>
        <v>62</v>
      </c>
      <c r="K51" s="3071" t="s">
        <v>2340</v>
      </c>
      <c r="L51" s="3103">
        <f ca="1">ROUND(-PV(INDIRECT("'数据-取费表'!h"&amp;$G$1),J51,(C39-C13*J36),0),0)</f>
        <v>-13638</v>
      </c>
      <c r="O51" s="2364" t="s">
        <v>2370</v>
      </c>
      <c r="P51" s="2362" t="s">
        <v>2371</v>
      </c>
      <c r="Q51" s="2365" t="e">
        <f ca="1">J58</f>
        <v>#VALUE!</v>
      </c>
      <c r="R51" s="2366"/>
    </row>
    <row r="52" spans="1:18" s="2043" customFormat="1" ht="18" customHeight="1" thickBot="1">
      <c r="A52" s="781" t="s">
        <v>2522</v>
      </c>
      <c r="B52" s="2457" t="s">
        <v>2445</v>
      </c>
      <c r="C52" s="799">
        <f ca="1">ROUND(IF(F52="押一",C48/12*F11,IF(F52="押二",C48/12*2*F11,IF(F52="押三",C48/12*3*F11,C53*F11))),0)</f>
        <v>0</v>
      </c>
      <c r="D52" s="2464" t="s">
        <v>2961</v>
      </c>
      <c r="E52" s="2461" t="s">
        <v>2450</v>
      </c>
      <c r="F52" s="2584"/>
      <c r="I52" s="3094" t="s">
        <v>2407</v>
      </c>
      <c r="J52" s="2348"/>
      <c r="K52" s="3094" t="s">
        <v>2406</v>
      </c>
      <c r="L52" s="2348"/>
      <c r="O52" s="2364" t="s">
        <v>2372</v>
      </c>
      <c r="P52" s="2362" t="s">
        <v>2373</v>
      </c>
      <c r="Q52" s="2365">
        <f>J52</f>
        <v>0</v>
      </c>
      <c r="R52" s="2366"/>
    </row>
    <row r="53" spans="1:18" s="2043" customFormat="1" ht="39.75" customHeight="1" thickBot="1">
      <c r="A53" s="786"/>
      <c r="B53" s="2458" t="s">
        <v>2559</v>
      </c>
      <c r="C53" s="2462"/>
      <c r="D53" s="2464"/>
      <c r="E53" s="2461"/>
      <c r="F53" s="800"/>
      <c r="I53" s="3095" t="s">
        <v>2964</v>
      </c>
      <c r="J53" s="3174">
        <f ca="1">IF(M47="住宅",IF(D1="——",MAX(J51,L48),MAX(J51,L48-'数据-取费表'!B20)),IF(D1="——",MIN(J51,L48),MIN(J51,L48-'数据-取费表'!B20)))</f>
        <v>36.78</v>
      </c>
      <c r="K53" s="3478" t="s">
        <v>2952</v>
      </c>
      <c r="L53" s="3479"/>
      <c r="O53" s="2364" t="s">
        <v>2374</v>
      </c>
      <c r="P53" s="2362" t="s">
        <v>2375</v>
      </c>
      <c r="Q53" s="2363">
        <f ca="1">J53</f>
        <v>36.78</v>
      </c>
      <c r="R53" s="2362" t="s">
        <v>2376</v>
      </c>
    </row>
    <row r="54" spans="1:18" s="2043" customFormat="1" ht="18" customHeight="1" thickBot="1">
      <c r="A54" s="2500" t="s">
        <v>2453</v>
      </c>
      <c r="B54" s="2501" t="s">
        <v>2446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2377</v>
      </c>
      <c r="P54" s="2362" t="s">
        <v>2394</v>
      </c>
      <c r="Q54" s="2363">
        <f ca="1">Q48+Q49</f>
        <v>9940</v>
      </c>
      <c r="R54" s="2366" t="s">
        <v>2378</v>
      </c>
    </row>
    <row r="55" spans="1:18" s="2043" customFormat="1" ht="18" customHeight="1" thickTop="1" thickBot="1">
      <c r="A55" s="797">
        <v>2</v>
      </c>
      <c r="B55" s="798" t="s">
        <v>635</v>
      </c>
      <c r="C55" s="799">
        <f ca="1">C13</f>
        <v>13420</v>
      </c>
      <c r="D55" s="795"/>
      <c r="E55" s="795"/>
      <c r="F55" s="800"/>
      <c r="I55" s="3106" t="s">
        <v>2341</v>
      </c>
      <c r="J55" s="3046" t="e">
        <f ca="1">ROUND(IF(J47="钢混",J57/J50,1-(1-2%)*(J50-J57)/J50),3)</f>
        <v>#VALUE!</v>
      </c>
      <c r="K55" s="3107" t="s">
        <v>2342</v>
      </c>
      <c r="L55" s="2349"/>
      <c r="O55" s="2367" t="s">
        <v>2397</v>
      </c>
      <c r="P55" s="1577"/>
      <c r="Q55" s="1588"/>
      <c r="R55" s="1577"/>
    </row>
    <row r="56" spans="1:18" s="2043" customFormat="1" ht="42.75" customHeight="1" thickBot="1">
      <c r="A56" s="1634"/>
      <c r="B56" s="2215" t="s">
        <v>2288</v>
      </c>
      <c r="C56" s="53">
        <f ca="1">C29</f>
        <v>13420</v>
      </c>
      <c r="D56" s="2602"/>
      <c r="E56" s="784"/>
      <c r="F56" s="809"/>
      <c r="I56" s="3108" t="s">
        <v>2343</v>
      </c>
      <c r="J56" s="3118" t="s">
        <v>1667</v>
      </c>
      <c r="K56" s="3071" t="s">
        <v>2348</v>
      </c>
      <c r="L56" s="1892" t="str">
        <f ca="1">IF(L48&lt;J51,"——",L48-J51)</f>
        <v>——</v>
      </c>
      <c r="O56" s="2358" t="s">
        <v>2361</v>
      </c>
      <c r="P56" s="2359" t="s">
        <v>2362</v>
      </c>
      <c r="Q56" s="2360" t="s">
        <v>2363</v>
      </c>
      <c r="R56" s="2359" t="s">
        <v>2364</v>
      </c>
    </row>
    <row r="57" spans="1:18" s="2043" customFormat="1" ht="28.5" customHeight="1" thickBot="1">
      <c r="A57" s="797" t="s">
        <v>1737</v>
      </c>
      <c r="B57" s="798" t="s">
        <v>642</v>
      </c>
      <c r="C57" s="799">
        <f ca="1">ROUND(C58+C63+C64+C65,0)</f>
        <v>234</v>
      </c>
      <c r="D57" s="26" t="s">
        <v>1739</v>
      </c>
      <c r="E57" s="2603"/>
      <c r="F57" s="56"/>
      <c r="I57" s="3109" t="s">
        <v>2344</v>
      </c>
      <c r="J57" s="3110" t="str">
        <f ca="1">IF(OR(M47="住宅",J51&lt;L48,J56="是"),"——",J51-L48)</f>
        <v>——</v>
      </c>
      <c r="K57" s="3071" t="s">
        <v>2349</v>
      </c>
      <c r="L57" s="1892" t="str">
        <f ca="1">IF(L48&lt;J51,"——",IF(L55="比较法",L49,IF(L55="基准地价",L50,L51)))</f>
        <v>——</v>
      </c>
      <c r="O57" s="2361" t="s">
        <v>2365</v>
      </c>
      <c r="P57" s="2362" t="s">
        <v>2395</v>
      </c>
      <c r="Q57" s="2363">
        <f ca="1">C40+J29</f>
        <v>9940</v>
      </c>
      <c r="R57" s="2362" t="s">
        <v>2366</v>
      </c>
    </row>
    <row r="58" spans="1:18" s="2043" customFormat="1" ht="28.5" customHeight="1" thickBot="1">
      <c r="A58" s="1633" t="s">
        <v>1813</v>
      </c>
      <c r="B58" s="784" t="s">
        <v>647</v>
      </c>
      <c r="C58" s="53">
        <f ca="1">ROUND(IF(项目基本情况!B11="自然人",C47*F58,C59+C60+C61),1)</f>
        <v>12.3</v>
      </c>
      <c r="D58" s="2601" t="s">
        <v>648</v>
      </c>
      <c r="E58" s="2602" t="s">
        <v>681</v>
      </c>
      <c r="F58" s="810">
        <f ca="1">IF(项目基本情况!B11="企业","",IF(INDIRECT("'数据-取费表'!c"&amp;$G$1)="住宅",5%,IF(F48*F49*F50/12/(1+'数据-取费表'!C42)&gt;20000,12%,7%)))</f>
        <v>7.0000000000000007E-2</v>
      </c>
      <c r="I58" s="3109" t="s">
        <v>2345</v>
      </c>
      <c r="J58" s="3047" t="e">
        <f ca="1">IF(J55&lt;0.4,0.4,J55)</f>
        <v>#VALUE!</v>
      </c>
      <c r="K58" s="3071" t="s">
        <v>2350</v>
      </c>
      <c r="L58" s="1892" t="e">
        <f ca="1">ROUND(POWER(1+L52,L47-L48)*(POWER(1+L52,L48)-1)/(POWER(1+L52,L47)-1),4)</f>
        <v>#DIV/0!</v>
      </c>
      <c r="O58" s="2361" t="s">
        <v>2367</v>
      </c>
      <c r="P58" s="2362" t="s">
        <v>2398</v>
      </c>
      <c r="Q58" s="2363">
        <f ca="1">L60</f>
        <v>0</v>
      </c>
      <c r="R58" s="2366" t="s">
        <v>2400</v>
      </c>
    </row>
    <row r="59" spans="1:18" s="2043" customFormat="1" ht="28.5" customHeight="1" thickBot="1">
      <c r="A59" s="1632" t="s">
        <v>1820</v>
      </c>
      <c r="B59" s="784" t="s">
        <v>651</v>
      </c>
      <c r="C59" s="53">
        <f ca="1">ROUND(C47*F59/1.05,1)</f>
        <v>0</v>
      </c>
      <c r="D59" s="2602" t="s">
        <v>1745</v>
      </c>
      <c r="E59" s="784" t="s">
        <v>1736</v>
      </c>
      <c r="F59" s="809">
        <f t="shared" ref="F59:F65" si="0">F32</f>
        <v>5.6000000000000001E-2</v>
      </c>
      <c r="I59" s="3109" t="s">
        <v>2346</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2369</v>
      </c>
      <c r="P59" s="2362" t="s">
        <v>2399</v>
      </c>
      <c r="Q59" s="2363">
        <f>IF(L55="比较法",L49,IF(L55="基准地价",L50,0))</f>
        <v>0</v>
      </c>
      <c r="R59" s="2362" t="s">
        <v>2366</v>
      </c>
    </row>
    <row r="60" spans="1:18" s="2043" customFormat="1" ht="18" customHeight="1" thickBot="1">
      <c r="A60" s="1632" t="s">
        <v>1821</v>
      </c>
      <c r="B60" s="784" t="s">
        <v>1747</v>
      </c>
      <c r="C60" s="53">
        <f ca="1">IF(D60="按租金收入计税",ROUND(C47*F60,1),IF(D60="按房产原值计税",ROUND(C56*F60*0.7,1),INDIRECT("'数据-取费表'!Aj"&amp;$G$1)))</f>
        <v>0</v>
      </c>
      <c r="D60" s="2602" t="str">
        <f>D33</f>
        <v>按租金收入计税</v>
      </c>
      <c r="E60" s="784" t="s">
        <v>1736</v>
      </c>
      <c r="F60" s="809">
        <f t="shared" si="0"/>
        <v>0.12</v>
      </c>
      <c r="I60" s="3111" t="s">
        <v>2347</v>
      </c>
      <c r="J60" s="3112" t="str">
        <f ca="1">IF(OR(M47="住宅",J51&lt;L48,J56="是"),"0",ROUND(J59/(1+J52)^J53,0))</f>
        <v>0</v>
      </c>
      <c r="K60" s="3113" t="s">
        <v>2352</v>
      </c>
      <c r="L60" s="3112">
        <f ca="1">IF(OR(M47="住宅",L48&lt;J51),0,ROUND(L57*(L58/L59-1),0))</f>
        <v>0</v>
      </c>
      <c r="O60" s="2364" t="s">
        <v>2370</v>
      </c>
      <c r="P60" s="2362" t="s">
        <v>2379</v>
      </c>
      <c r="Q60" s="2365">
        <f>L52</f>
        <v>0</v>
      </c>
      <c r="R60" s="2366"/>
    </row>
    <row r="61" spans="1:18" s="2043" customFormat="1" ht="18" customHeight="1" thickBot="1">
      <c r="A61" s="1635" t="s">
        <v>1822</v>
      </c>
      <c r="B61" s="341" t="s">
        <v>659</v>
      </c>
      <c r="C61" s="54">
        <f ca="1">ROUND(F61*F62/10000,1)</f>
        <v>12.3</v>
      </c>
      <c r="D61" s="814" t="s">
        <v>660</v>
      </c>
      <c r="E61" s="784" t="s">
        <v>661</v>
      </c>
      <c r="F61" s="640">
        <f t="shared" si="0"/>
        <v>12</v>
      </c>
      <c r="K61" s="2070"/>
      <c r="O61" s="2364" t="s">
        <v>2372</v>
      </c>
      <c r="P61" s="2362" t="s">
        <v>2380</v>
      </c>
      <c r="Q61" s="2363" t="e">
        <f ca="1">L58</f>
        <v>#DIV/0!</v>
      </c>
      <c r="R61" s="2366" t="s">
        <v>2381</v>
      </c>
    </row>
    <row r="62" spans="1:18" s="2043" customFormat="1" ht="15.75" thickBot="1">
      <c r="A62" s="815"/>
      <c r="B62" s="793"/>
      <c r="C62" s="69"/>
      <c r="D62" s="816"/>
      <c r="E62" s="784" t="s">
        <v>665</v>
      </c>
      <c r="F62" s="785">
        <f t="shared" ca="1" si="0"/>
        <v>10282.359999999999</v>
      </c>
      <c r="I62" s="3114" t="s">
        <v>2353</v>
      </c>
      <c r="J62" s="3115" t="s">
        <v>2354</v>
      </c>
      <c r="K62" s="3115" t="s">
        <v>2355</v>
      </c>
      <c r="L62" s="3115" t="s">
        <v>2336</v>
      </c>
      <c r="M62" s="3116" t="s">
        <v>2929</v>
      </c>
      <c r="O62" s="2364" t="s">
        <v>2374</v>
      </c>
      <c r="P62" s="2362" t="str">
        <f>K59</f>
        <v>建设期及建筑物耐用年限下的土地年期修正系数Kn</v>
      </c>
      <c r="Q62" s="2363" t="e">
        <f ca="1">L59</f>
        <v>#DIV/0!</v>
      </c>
      <c r="R62" s="2366" t="s">
        <v>2383</v>
      </c>
    </row>
    <row r="63" spans="1:18" s="2043" customFormat="1" ht="15.75" thickBot="1">
      <c r="A63" s="1633" t="s">
        <v>1878</v>
      </c>
      <c r="B63" s="784" t="s">
        <v>667</v>
      </c>
      <c r="C63" s="53">
        <f ca="1">ROUND(C56*F63,1)</f>
        <v>201.3</v>
      </c>
      <c r="D63" s="2602" t="s">
        <v>1792</v>
      </c>
      <c r="E63" s="784" t="s">
        <v>1736</v>
      </c>
      <c r="F63" s="817">
        <f t="shared" ca="1" si="0"/>
        <v>1.4999999999999999E-2</v>
      </c>
      <c r="I63" s="3114" t="s">
        <v>2356</v>
      </c>
      <c r="J63" s="3115">
        <v>70</v>
      </c>
      <c r="K63" s="3115">
        <v>50</v>
      </c>
      <c r="L63" s="3115">
        <v>80</v>
      </c>
      <c r="M63" s="3117">
        <v>0.02</v>
      </c>
      <c r="O63" s="2361" t="s">
        <v>2377</v>
      </c>
      <c r="P63" s="2362" t="s">
        <v>2394</v>
      </c>
      <c r="Q63" s="2363">
        <f ca="1">Q57+Q58</f>
        <v>9940</v>
      </c>
      <c r="R63" s="2366" t="s">
        <v>2378</v>
      </c>
    </row>
    <row r="64" spans="1:18" s="2043" customFormat="1" ht="16.5" thickBot="1">
      <c r="A64" s="1633" t="s">
        <v>1879</v>
      </c>
      <c r="B64" s="784" t="s">
        <v>670</v>
      </c>
      <c r="C64" s="53">
        <f ca="1">ROUND(C55*F64,1)</f>
        <v>20.100000000000001</v>
      </c>
      <c r="D64" s="2602" t="s">
        <v>671</v>
      </c>
      <c r="E64" s="784" t="s">
        <v>1736</v>
      </c>
      <c r="F64" s="818">
        <f t="shared" ca="1" si="0"/>
        <v>1.5E-3</v>
      </c>
      <c r="I64" s="3114" t="s">
        <v>2357</v>
      </c>
      <c r="J64" s="3115">
        <v>50</v>
      </c>
      <c r="K64" s="3115">
        <v>35</v>
      </c>
      <c r="L64" s="3115">
        <v>60</v>
      </c>
      <c r="M64" s="846">
        <v>0</v>
      </c>
      <c r="O64" s="2367" t="s">
        <v>2401</v>
      </c>
      <c r="P64" s="1577"/>
      <c r="Q64" s="1588"/>
      <c r="R64" s="1577"/>
    </row>
    <row r="65" spans="1:18" s="2043" customFormat="1" ht="15.75" thickBot="1">
      <c r="A65" s="1633" t="s">
        <v>1880</v>
      </c>
      <c r="B65" s="784" t="s">
        <v>657</v>
      </c>
      <c r="C65" s="53">
        <f ca="1">ROUND(C47*F65,1)</f>
        <v>0</v>
      </c>
      <c r="D65" s="2602" t="s">
        <v>674</v>
      </c>
      <c r="E65" s="784" t="s">
        <v>1736</v>
      </c>
      <c r="F65" s="794">
        <f t="shared" ca="1" si="0"/>
        <v>0.02</v>
      </c>
      <c r="I65" s="3114" t="s">
        <v>2358</v>
      </c>
      <c r="J65" s="3115">
        <v>40</v>
      </c>
      <c r="K65" s="3115">
        <v>30</v>
      </c>
      <c r="L65" s="3115">
        <v>50</v>
      </c>
      <c r="M65" s="3117">
        <v>0.02</v>
      </c>
      <c r="O65" s="2358" t="s">
        <v>2361</v>
      </c>
      <c r="P65" s="2359" t="s">
        <v>2362</v>
      </c>
      <c r="Q65" s="2360" t="s">
        <v>2363</v>
      </c>
      <c r="R65" s="2359" t="s">
        <v>2364</v>
      </c>
    </row>
    <row r="66" spans="1:18" s="2043" customFormat="1" ht="24.75" thickBot="1">
      <c r="A66" s="797" t="s">
        <v>1765</v>
      </c>
      <c r="B66" s="2962" t="s">
        <v>2807</v>
      </c>
      <c r="C66" s="799">
        <f ca="1">C47-C57</f>
        <v>-234</v>
      </c>
      <c r="D66" s="2601" t="s">
        <v>691</v>
      </c>
      <c r="E66" s="2600"/>
      <c r="F66" s="820"/>
      <c r="K66" s="2070"/>
      <c r="O66" s="2361" t="s">
        <v>2365</v>
      </c>
      <c r="P66" s="2362" t="s">
        <v>2395</v>
      </c>
      <c r="Q66" s="2363">
        <f ca="1">C40+J29</f>
        <v>9940</v>
      </c>
      <c r="R66" s="2362" t="s">
        <v>2366</v>
      </c>
    </row>
    <row r="67" spans="1:18" s="2043" customFormat="1" ht="20.25" thickBot="1">
      <c r="A67" s="781" t="s">
        <v>1769</v>
      </c>
      <c r="B67" s="2216" t="s">
        <v>2287</v>
      </c>
      <c r="C67" s="783">
        <f ca="1">ROUND(C66*(1-((1+F69)/(1+F67))^F68)/(F67-F69),0)</f>
        <v>-3661</v>
      </c>
      <c r="D67" s="814" t="s">
        <v>695</v>
      </c>
      <c r="E67" s="784" t="s">
        <v>696</v>
      </c>
      <c r="F67" s="794">
        <f ca="1">F40</f>
        <v>5.5E-2</v>
      </c>
      <c r="K67" s="2070"/>
      <c r="O67" s="2361" t="s">
        <v>2367</v>
      </c>
      <c r="P67" s="2362" t="s">
        <v>2398</v>
      </c>
      <c r="Q67" s="2363">
        <f ca="1">L60</f>
        <v>0</v>
      </c>
      <c r="R67" s="2366" t="s">
        <v>2400</v>
      </c>
    </row>
    <row r="68" spans="1:18" ht="21.75" thickBot="1">
      <c r="A68" s="786"/>
      <c r="B68" s="787"/>
      <c r="C68" s="788"/>
      <c r="D68" s="821" t="s">
        <v>1797</v>
      </c>
      <c r="E68" s="784" t="s">
        <v>1773</v>
      </c>
      <c r="F68" s="822">
        <f ca="1">F41</f>
        <v>36.78</v>
      </c>
      <c r="O68" s="2364" t="s">
        <v>2369</v>
      </c>
      <c r="P68" s="2362" t="s">
        <v>2399</v>
      </c>
      <c r="Q68" s="2368">
        <f ca="1">L51</f>
        <v>-13638</v>
      </c>
      <c r="R68" s="2369" t="s">
        <v>2402</v>
      </c>
    </row>
    <row r="69" spans="1:18" ht="20.25" thickBot="1">
      <c r="A69" s="790"/>
      <c r="B69" s="791"/>
      <c r="C69" s="792"/>
      <c r="D69" s="816"/>
      <c r="E69" s="784" t="s">
        <v>701</v>
      </c>
      <c r="F69" s="2334"/>
      <c r="O69" s="2364" t="s">
        <v>2370</v>
      </c>
      <c r="P69" s="2370" t="s">
        <v>2384</v>
      </c>
      <c r="Q69" s="2363">
        <f ca="1">ROUND(Q70-Q71*Q72,0)</f>
        <v>-717</v>
      </c>
      <c r="R69" s="2366"/>
    </row>
    <row r="70" spans="1:18" ht="15.75" thickBot="1">
      <c r="A70" s="823" t="s">
        <v>1776</v>
      </c>
      <c r="B70" s="824" t="s">
        <v>1799</v>
      </c>
      <c r="C70" s="825">
        <f ca="1">ROUND(C67*10000/F70,0)</f>
        <v>-1488</v>
      </c>
      <c r="D70" s="826" t="s">
        <v>1800</v>
      </c>
      <c r="E70" s="827" t="s">
        <v>1801</v>
      </c>
      <c r="F70" s="828">
        <f ca="1">F43</f>
        <v>24597.9</v>
      </c>
      <c r="O70" s="2364" t="s">
        <v>2385</v>
      </c>
      <c r="P70" s="2370" t="s">
        <v>2386</v>
      </c>
      <c r="Q70" s="2363">
        <f ca="1">C39</f>
        <v>424</v>
      </c>
      <c r="R70" s="2362" t="s">
        <v>2366</v>
      </c>
    </row>
    <row r="71" spans="1:18" ht="15.75" thickBot="1">
      <c r="O71" s="2364" t="s">
        <v>2387</v>
      </c>
      <c r="P71" s="2370" t="s">
        <v>2388</v>
      </c>
      <c r="Q71" s="2363">
        <f ca="1">C13</f>
        <v>13420</v>
      </c>
      <c r="R71" s="2362" t="s">
        <v>2366</v>
      </c>
    </row>
    <row r="72" spans="1:18" ht="15.75" thickBot="1">
      <c r="O72" s="2364" t="s">
        <v>2389</v>
      </c>
      <c r="P72" s="2370" t="s">
        <v>2390</v>
      </c>
      <c r="Q72" s="2365">
        <f ca="1">J36</f>
        <v>8.5000000000000006E-2</v>
      </c>
      <c r="R72" s="2366"/>
    </row>
    <row r="73" spans="1:18" ht="15.75" thickBot="1">
      <c r="O73" s="2364" t="s">
        <v>2372</v>
      </c>
      <c r="P73" s="2362" t="s">
        <v>2379</v>
      </c>
      <c r="Q73" s="2365">
        <f>L52</f>
        <v>0</v>
      </c>
      <c r="R73" s="2366"/>
    </row>
    <row r="74" spans="1:18" ht="20.25" thickBot="1">
      <c r="O74" s="2364" t="s">
        <v>2374</v>
      </c>
      <c r="P74" s="2362" t="s">
        <v>2380</v>
      </c>
      <c r="Q74" s="2363" t="e">
        <f ca="1">L58</f>
        <v>#DIV/0!</v>
      </c>
      <c r="R74" s="2366" t="s">
        <v>2381</v>
      </c>
    </row>
    <row r="75" spans="1:18" ht="15.75" thickBot="1">
      <c r="O75" s="2364" t="s">
        <v>2403</v>
      </c>
      <c r="P75" s="2362" t="str">
        <f>K59</f>
        <v>建设期及建筑物耐用年限下的土地年期修正系数Kn</v>
      </c>
      <c r="Q75" s="2363" t="e">
        <f ca="1">L59</f>
        <v>#DIV/0!</v>
      </c>
      <c r="R75" s="2366" t="s">
        <v>2383</v>
      </c>
    </row>
    <row r="76" spans="1:18" ht="15.75" thickBot="1">
      <c r="O76" s="2361" t="s">
        <v>2377</v>
      </c>
      <c r="P76" s="2362" t="s">
        <v>2394</v>
      </c>
      <c r="Q76" s="2363">
        <f ca="1">Q66+Q67</f>
        <v>9940</v>
      </c>
      <c r="R76" s="2366" t="s">
        <v>2378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2457</v>
      </c>
      <c r="B1" s="3481"/>
      <c r="C1" s="3482"/>
      <c r="D1" s="3483">
        <f>SUM(I10,I15,I20,I21,I23)</f>
        <v>0</v>
      </c>
      <c r="E1" s="3483"/>
      <c r="F1" s="3483"/>
      <c r="G1" s="3483"/>
      <c r="H1" s="3483"/>
      <c r="I1" s="3484"/>
    </row>
    <row r="2" spans="1:9">
      <c r="A2" s="3485" t="s">
        <v>2458</v>
      </c>
      <c r="B2" s="3486" t="s">
        <v>2459</v>
      </c>
      <c r="C2" s="3486"/>
      <c r="D2" s="2470" t="s">
        <v>2460</v>
      </c>
      <c r="E2" s="2470" t="s">
        <v>2461</v>
      </c>
      <c r="F2" s="2470" t="s">
        <v>2462</v>
      </c>
      <c r="G2" s="2470" t="s">
        <v>2463</v>
      </c>
      <c r="H2" s="2470" t="s">
        <v>2464</v>
      </c>
      <c r="I2" s="2471" t="s">
        <v>2465</v>
      </c>
    </row>
    <row r="3" spans="1:9">
      <c r="A3" s="3485"/>
      <c r="B3" s="3486" t="s">
        <v>2466</v>
      </c>
      <c r="C3" s="3486"/>
      <c r="D3" s="2472"/>
      <c r="E3" s="2470"/>
      <c r="F3" s="2473"/>
      <c r="G3" s="2473"/>
      <c r="H3" s="2474"/>
      <c r="I3" s="2475">
        <f>ROUND(D3*E3*F3*G3*H3/10000,0)</f>
        <v>0</v>
      </c>
    </row>
    <row r="4" spans="1:9">
      <c r="A4" s="3485"/>
      <c r="B4" s="3486" t="s">
        <v>2467</v>
      </c>
      <c r="C4" s="3486"/>
      <c r="D4" s="2472"/>
      <c r="E4" s="2470"/>
      <c r="F4" s="2473"/>
      <c r="G4" s="2473"/>
      <c r="H4" s="2474"/>
      <c r="I4" s="2475">
        <f t="shared" ref="I4:I9" si="0">ROUND(D4*E4*F4*G4*H4/10000,0)</f>
        <v>0</v>
      </c>
    </row>
    <row r="5" spans="1:9">
      <c r="A5" s="3485"/>
      <c r="B5" s="3486" t="s">
        <v>2468</v>
      </c>
      <c r="C5" s="3486"/>
      <c r="D5" s="2472"/>
      <c r="E5" s="2470"/>
      <c r="F5" s="2473"/>
      <c r="G5" s="2473"/>
      <c r="H5" s="2474"/>
      <c r="I5" s="2475">
        <f t="shared" si="0"/>
        <v>0</v>
      </c>
    </row>
    <row r="6" spans="1:9">
      <c r="A6" s="3485"/>
      <c r="B6" s="3486" t="s">
        <v>2469</v>
      </c>
      <c r="C6" s="3486"/>
      <c r="D6" s="2472"/>
      <c r="E6" s="2470"/>
      <c r="F6" s="2473"/>
      <c r="G6" s="2473"/>
      <c r="H6" s="2474"/>
      <c r="I6" s="2475">
        <f t="shared" si="0"/>
        <v>0</v>
      </c>
    </row>
    <row r="7" spans="1:9">
      <c r="A7" s="3485"/>
      <c r="B7" s="3486" t="s">
        <v>2470</v>
      </c>
      <c r="C7" s="3486"/>
      <c r="D7" s="2472"/>
      <c r="E7" s="2470"/>
      <c r="F7" s="2473"/>
      <c r="G7" s="2473"/>
      <c r="H7" s="2474"/>
      <c r="I7" s="2475">
        <f t="shared" si="0"/>
        <v>0</v>
      </c>
    </row>
    <row r="8" spans="1:9">
      <c r="A8" s="3485"/>
      <c r="B8" s="3486" t="s">
        <v>2471</v>
      </c>
      <c r="C8" s="3486"/>
      <c r="D8" s="2472"/>
      <c r="E8" s="2470"/>
      <c r="F8" s="2473"/>
      <c r="G8" s="2473"/>
      <c r="H8" s="2474"/>
      <c r="I8" s="2475">
        <f t="shared" si="0"/>
        <v>0</v>
      </c>
    </row>
    <row r="9" spans="1:9">
      <c r="A9" s="3485"/>
      <c r="B9" s="3486" t="s">
        <v>2472</v>
      </c>
      <c r="C9" s="3486"/>
      <c r="D9" s="2472"/>
      <c r="E9" s="2470"/>
      <c r="F9" s="2473"/>
      <c r="G9" s="2473"/>
      <c r="H9" s="2474"/>
      <c r="I9" s="2475">
        <f t="shared" si="0"/>
        <v>0</v>
      </c>
    </row>
    <row r="10" spans="1:9">
      <c r="A10" s="3485"/>
      <c r="B10" s="3487" t="s">
        <v>2473</v>
      </c>
      <c r="C10" s="3487"/>
      <c r="D10" s="2476">
        <v>527</v>
      </c>
      <c r="E10" s="2476" t="e">
        <f>ROUND(D1*10000/D10/H9,0)</f>
        <v>#DIV/0!</v>
      </c>
      <c r="F10" s="2477"/>
      <c r="G10" s="2477"/>
      <c r="H10" s="2478"/>
      <c r="I10" s="2479">
        <f>SUM(I3:I9)</f>
        <v>0</v>
      </c>
    </row>
    <row r="11" spans="1:9" ht="14.25">
      <c r="A11" s="3485" t="s">
        <v>2474</v>
      </c>
      <c r="B11" s="3486" t="s">
        <v>2475</v>
      </c>
      <c r="C11" s="3486"/>
      <c r="D11" s="2472" t="s">
        <v>2476</v>
      </c>
      <c r="E11" s="2472" t="s">
        <v>2477</v>
      </c>
      <c r="F11" s="2473" t="s">
        <v>2478</v>
      </c>
      <c r="G11" s="2473" t="s">
        <v>2479</v>
      </c>
      <c r="H11" s="2480" t="s">
        <v>2480</v>
      </c>
      <c r="I11" s="2471" t="s">
        <v>2481</v>
      </c>
    </row>
    <row r="12" spans="1:9">
      <c r="A12" s="3485"/>
      <c r="B12" s="3486" t="s">
        <v>2482</v>
      </c>
      <c r="C12" s="3486"/>
      <c r="D12" s="2472"/>
      <c r="E12" s="2472"/>
      <c r="F12" s="2473"/>
      <c r="G12" s="2474"/>
      <c r="H12" s="2481"/>
      <c r="I12" s="2471">
        <f>ROUND(D12*E12*F12*G12/10000,0)</f>
        <v>0</v>
      </c>
    </row>
    <row r="13" spans="1:9">
      <c r="A13" s="3485"/>
      <c r="B13" s="3486" t="s">
        <v>2483</v>
      </c>
      <c r="C13" s="3486"/>
      <c r="D13" s="2472"/>
      <c r="E13" s="2472"/>
      <c r="F13" s="2473"/>
      <c r="G13" s="2474"/>
      <c r="H13" s="2481"/>
      <c r="I13" s="2471">
        <f>ROUND(D13*E13*F13*G13/10000,0)</f>
        <v>0</v>
      </c>
    </row>
    <row r="14" spans="1:9">
      <c r="A14" s="3485"/>
      <c r="B14" s="3486" t="s">
        <v>2484</v>
      </c>
      <c r="C14" s="3486"/>
      <c r="D14" s="2472"/>
      <c r="E14" s="2472"/>
      <c r="F14" s="2473"/>
      <c r="G14" s="2474"/>
      <c r="H14" s="2481"/>
      <c r="I14" s="2471">
        <f>ROUND(D14*E14*F14*G14/10000,0)</f>
        <v>0</v>
      </c>
    </row>
    <row r="15" spans="1:9">
      <c r="A15" s="3485"/>
      <c r="B15" s="3487" t="s">
        <v>2473</v>
      </c>
      <c r="C15" s="3487"/>
      <c r="D15" s="2476"/>
      <c r="E15" s="2476">
        <f>SUM(E12:E14)</f>
        <v>0</v>
      </c>
      <c r="F15" s="2477"/>
      <c r="G15" s="2474"/>
      <c r="H15" s="2481"/>
      <c r="I15" s="2482">
        <f>SUM(I12:I14)</f>
        <v>0</v>
      </c>
    </row>
    <row r="16" spans="1:9" ht="24">
      <c r="A16" s="3485" t="s">
        <v>2485</v>
      </c>
      <c r="B16" s="3486" t="s">
        <v>2486</v>
      </c>
      <c r="C16" s="3486"/>
      <c r="D16" s="2472" t="s">
        <v>2487</v>
      </c>
      <c r="E16" s="2483" t="s">
        <v>2488</v>
      </c>
      <c r="F16" s="2473" t="s">
        <v>2489</v>
      </c>
      <c r="G16" s="2474" t="s">
        <v>2479</v>
      </c>
      <c r="H16" s="2480" t="s">
        <v>2480</v>
      </c>
      <c r="I16" s="2471" t="s">
        <v>2481</v>
      </c>
    </row>
    <row r="17" spans="1:9" ht="14.25">
      <c r="A17" s="3485"/>
      <c r="B17" s="3486" t="s">
        <v>2490</v>
      </c>
      <c r="C17" s="3486"/>
      <c r="D17" s="2472"/>
      <c r="E17" s="2472"/>
      <c r="F17" s="2473"/>
      <c r="G17" s="2474"/>
      <c r="H17" s="2484"/>
      <c r="I17" s="2485">
        <f>ROUND(D17*E17*F17*G17/10000,0)</f>
        <v>0</v>
      </c>
    </row>
    <row r="18" spans="1:9" ht="14.25">
      <c r="A18" s="3485"/>
      <c r="B18" s="3486" t="s">
        <v>2491</v>
      </c>
      <c r="C18" s="3486"/>
      <c r="D18" s="2472"/>
      <c r="E18" s="2472"/>
      <c r="F18" s="2473"/>
      <c r="G18" s="2474"/>
      <c r="H18" s="2484"/>
      <c r="I18" s="2485">
        <f>ROUND(D18*E18*F18*G18/10000,0)</f>
        <v>0</v>
      </c>
    </row>
    <row r="19" spans="1:9" ht="14.25">
      <c r="A19" s="3485"/>
      <c r="B19" s="3486" t="s">
        <v>2492</v>
      </c>
      <c r="C19" s="3486"/>
      <c r="D19" s="2472"/>
      <c r="E19" s="2472"/>
      <c r="F19" s="2473"/>
      <c r="G19" s="2474"/>
      <c r="H19" s="2484"/>
      <c r="I19" s="2485">
        <f>ROUND(D19*E19*F19*G19/10000,0)</f>
        <v>0</v>
      </c>
    </row>
    <row r="20" spans="1:9">
      <c r="A20" s="3485"/>
      <c r="B20" s="3487" t="s">
        <v>2473</v>
      </c>
      <c r="C20" s="3487"/>
      <c r="D20" s="2476">
        <f>SUM(D17:D19)</f>
        <v>0</v>
      </c>
      <c r="E20" s="2476"/>
      <c r="F20" s="2477"/>
      <c r="G20" s="2474"/>
      <c r="H20" s="2481"/>
      <c r="I20" s="2482">
        <f>SUM(I17:I19)</f>
        <v>0</v>
      </c>
    </row>
    <row r="21" spans="1:9">
      <c r="A21" s="3485" t="s">
        <v>2493</v>
      </c>
      <c r="B21" s="3489"/>
      <c r="C21" s="3489"/>
      <c r="D21" s="3489"/>
      <c r="E21" s="3489"/>
      <c r="F21" s="3489"/>
      <c r="G21" s="3489"/>
      <c r="H21" s="2486">
        <v>0.1</v>
      </c>
      <c r="I21" s="2479">
        <f>ROUND(I10*H21,0)</f>
        <v>0</v>
      </c>
    </row>
    <row r="22" spans="1:9" ht="14.25">
      <c r="A22" s="3490" t="s">
        <v>2494</v>
      </c>
      <c r="B22" s="3491"/>
      <c r="C22" s="3492"/>
      <c r="D22" s="2487" t="s">
        <v>2495</v>
      </c>
      <c r="E22" s="2487" t="s">
        <v>2496</v>
      </c>
      <c r="F22" s="2488" t="s">
        <v>2497</v>
      </c>
      <c r="G22" s="2488" t="s">
        <v>2498</v>
      </c>
      <c r="H22" s="2480" t="s">
        <v>2499</v>
      </c>
      <c r="I22" s="2471" t="s">
        <v>2500</v>
      </c>
    </row>
    <row r="23" spans="1:9" ht="14.25" thickBot="1">
      <c r="A23" s="3493"/>
      <c r="B23" s="3494"/>
      <c r="C23" s="3495"/>
      <c r="D23" s="2489"/>
      <c r="E23" s="2489"/>
      <c r="F23" s="2489"/>
      <c r="G23" s="2490"/>
      <c r="H23" s="2491"/>
      <c r="I23" s="2492">
        <f>ROUND(E23*D23*F23*(1-G23)/10000,0)</f>
        <v>0</v>
      </c>
    </row>
    <row r="26" spans="1:9">
      <c r="A26" s="2493" t="s">
        <v>2501</v>
      </c>
      <c r="B26" s="2493"/>
      <c r="C26" s="2493"/>
      <c r="D26" s="2493"/>
      <c r="E26" s="3496">
        <f>C27-C30-C31-C32</f>
        <v>0</v>
      </c>
      <c r="F26" s="3496"/>
      <c r="G26" s="3496"/>
      <c r="H26" s="2994" t="s">
        <v>2828</v>
      </c>
    </row>
    <row r="27" spans="1:9">
      <c r="A27" s="2494">
        <v>1</v>
      </c>
      <c r="B27" s="2495" t="s">
        <v>2502</v>
      </c>
      <c r="C27" s="2495"/>
      <c r="D27" s="2495"/>
      <c r="E27" s="3497"/>
      <c r="F27" s="3497"/>
      <c r="G27" s="3497"/>
    </row>
    <row r="28" spans="1:9">
      <c r="A28" s="2496" t="s">
        <v>2503</v>
      </c>
      <c r="B28" s="2495" t="s">
        <v>2504</v>
      </c>
      <c r="C28" s="2495"/>
      <c r="D28" s="2495"/>
      <c r="E28" s="3497"/>
      <c r="F28" s="3497"/>
      <c r="G28" s="3497"/>
    </row>
    <row r="29" spans="1:9">
      <c r="A29" s="2496" t="s">
        <v>2505</v>
      </c>
      <c r="B29" s="2495" t="s">
        <v>2446</v>
      </c>
      <c r="C29" s="2495"/>
      <c r="D29" s="2495"/>
      <c r="E29" s="2495" t="s">
        <v>2506</v>
      </c>
      <c r="F29" s="2495"/>
      <c r="G29" s="2495"/>
    </row>
    <row r="30" spans="1:9">
      <c r="A30" s="2494">
        <v>2</v>
      </c>
      <c r="B30" s="2495" t="s">
        <v>2507</v>
      </c>
      <c r="C30" s="2495">
        <f>C27*D30</f>
        <v>0</v>
      </c>
      <c r="D30" s="2497">
        <v>0.2</v>
      </c>
      <c r="E30" s="2495" t="s">
        <v>2508</v>
      </c>
      <c r="F30" s="2495"/>
      <c r="G30" s="2495"/>
    </row>
    <row r="31" spans="1:9">
      <c r="A31" s="2494">
        <v>3</v>
      </c>
      <c r="B31" s="2495" t="s">
        <v>2509</v>
      </c>
      <c r="C31" s="2495">
        <f>C25*D31</f>
        <v>0</v>
      </c>
      <c r="D31" s="2497">
        <v>0.15</v>
      </c>
      <c r="E31" s="2495" t="s">
        <v>2510</v>
      </c>
      <c r="F31" s="2495"/>
      <c r="G31" s="2495"/>
    </row>
    <row r="32" spans="1:9">
      <c r="A32" s="2494">
        <v>4</v>
      </c>
      <c r="B32" s="2495" t="s">
        <v>2511</v>
      </c>
      <c r="C32" s="2495">
        <f>C27*D32</f>
        <v>0</v>
      </c>
      <c r="D32" s="2497">
        <v>0.05</v>
      </c>
      <c r="E32" s="3488"/>
      <c r="F32" s="3488"/>
      <c r="G32" s="3488"/>
    </row>
    <row r="33" spans="1:7" hidden="1">
      <c r="A33" s="3498" t="s">
        <v>2512</v>
      </c>
      <c r="B33" s="3499"/>
      <c r="C33" s="3499"/>
      <c r="D33" s="3500"/>
      <c r="E33" s="3496"/>
      <c r="F33" s="3496"/>
      <c r="G33" s="3496"/>
    </row>
    <row r="34" spans="1:7" hidden="1">
      <c r="A34" s="2498">
        <v>1</v>
      </c>
      <c r="B34" s="2495" t="s">
        <v>2513</v>
      </c>
      <c r="C34" s="2495"/>
      <c r="D34" s="2495"/>
      <c r="E34" s="3497"/>
      <c r="F34" s="3497"/>
      <c r="G34" s="3497"/>
    </row>
    <row r="35" spans="1:7" hidden="1">
      <c r="A35" s="2498">
        <v>2</v>
      </c>
      <c r="B35" s="2495" t="s">
        <v>2514</v>
      </c>
      <c r="C35" s="2495"/>
      <c r="D35" s="2495"/>
      <c r="E35" s="3497"/>
      <c r="F35" s="3497"/>
      <c r="G35" s="3497"/>
    </row>
    <row r="36" spans="1:7" hidden="1">
      <c r="A36" s="2498">
        <v>3</v>
      </c>
      <c r="B36" s="2495" t="s">
        <v>2515</v>
      </c>
      <c r="C36" s="2495"/>
      <c r="D36" s="2495"/>
      <c r="E36" s="3497"/>
      <c r="F36" s="3497"/>
      <c r="G36" s="3497"/>
    </row>
    <row r="37" spans="1:7" hidden="1">
      <c r="A37" s="2498">
        <v>4</v>
      </c>
      <c r="B37" s="2495" t="s">
        <v>2516</v>
      </c>
      <c r="C37" s="2495"/>
      <c r="D37" s="2495"/>
      <c r="E37" s="3497"/>
      <c r="F37" s="3497"/>
      <c r="G37" s="3497"/>
    </row>
    <row r="38" spans="1:7" hidden="1">
      <c r="A38" s="3498" t="s">
        <v>2517</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594</v>
      </c>
      <c r="B1" s="742"/>
      <c r="C1" s="2166"/>
      <c r="D1" s="2166"/>
      <c r="E1" s="2166"/>
      <c r="F1" s="2166"/>
      <c r="G1" s="2092"/>
    </row>
    <row r="2" spans="1:25" s="2043" customFormat="1" ht="18" customHeight="1">
      <c r="A2" s="423" t="s">
        <v>458</v>
      </c>
      <c r="B2" s="425">
        <f ca="1">C23</f>
        <v>0</v>
      </c>
      <c r="C2" s="2092"/>
      <c r="D2" s="2092"/>
      <c r="E2" s="2092"/>
      <c r="F2" s="2092"/>
      <c r="G2" s="2092"/>
    </row>
    <row r="3" spans="1:25" s="2043" customFormat="1" ht="18" customHeight="1">
      <c r="A3" s="1374" t="s">
        <v>1674</v>
      </c>
      <c r="B3" s="425">
        <f ca="1">ROUND(B2*10000/'数据-汇总表'!E3,0)</f>
        <v>0</v>
      </c>
      <c r="C3" s="2092"/>
      <c r="D3" s="2092"/>
      <c r="E3" s="2092"/>
      <c r="F3" s="2092"/>
      <c r="G3" s="2092"/>
    </row>
    <row r="4" spans="1:25" s="2043" customFormat="1" ht="18" customHeight="1">
      <c r="A4" s="426" t="s">
        <v>459</v>
      </c>
      <c r="B4" s="427">
        <f ca="1">ROUND(B2*10000/'数据-汇总表'!D3,0)</f>
        <v>0</v>
      </c>
      <c r="C4" s="2045"/>
      <c r="D4" s="2092"/>
      <c r="E4" s="2092"/>
      <c r="F4" s="2092"/>
      <c r="G4" s="2092"/>
    </row>
    <row r="5" spans="1:25" s="2043" customFormat="1" ht="18" customHeight="1" thickBot="1">
      <c r="A5" s="429"/>
      <c r="B5" s="430">
        <f ca="1">ROUND(B2/('数据-汇总表'!D3/666.67),0)</f>
        <v>0</v>
      </c>
      <c r="C5" s="431" t="s">
        <v>460</v>
      </c>
      <c r="D5" s="2092"/>
      <c r="E5" s="2092"/>
      <c r="F5" s="2092"/>
      <c r="G5" s="2092"/>
    </row>
    <row r="6" spans="1:25" s="2167" customFormat="1" ht="13.5" customHeight="1">
      <c r="A6" s="743"/>
      <c r="B6" s="744" t="s">
        <v>595</v>
      </c>
      <c r="C6" s="745" t="s">
        <v>596</v>
      </c>
      <c r="D6" s="745" t="s">
        <v>597</v>
      </c>
      <c r="E6" s="746" t="s">
        <v>598</v>
      </c>
      <c r="F6" s="746" t="s">
        <v>599</v>
      </c>
      <c r="G6" s="747"/>
    </row>
    <row r="7" spans="1:25" s="2167" customFormat="1" ht="13.5" customHeight="1">
      <c r="A7" s="2432">
        <v>1</v>
      </c>
      <c r="B7" s="748" t="s">
        <v>600</v>
      </c>
      <c r="C7" s="749">
        <f>C8+C9</f>
        <v>0</v>
      </c>
      <c r="D7" s="749"/>
      <c r="E7" s="750"/>
      <c r="F7" s="750"/>
      <c r="G7" s="2442"/>
    </row>
    <row r="8" spans="1:25" s="2167" customFormat="1" ht="13.5" customHeight="1">
      <c r="A8" s="2432" t="s">
        <v>2426</v>
      </c>
      <c r="B8" s="2435" t="s">
        <v>2428</v>
      </c>
      <c r="C8" s="2436"/>
      <c r="D8" s="749"/>
      <c r="E8" s="750"/>
      <c r="F8" s="750"/>
      <c r="G8" s="751"/>
    </row>
    <row r="9" spans="1:25" s="2167" customFormat="1" ht="13.5" customHeight="1">
      <c r="A9" s="2432" t="s">
        <v>2427</v>
      </c>
      <c r="B9" s="2435" t="s">
        <v>2429</v>
      </c>
      <c r="C9" s="2436"/>
      <c r="D9" s="749"/>
      <c r="E9" s="750"/>
      <c r="F9" s="750"/>
      <c r="G9" s="751"/>
    </row>
    <row r="10" spans="1:25" s="2167" customFormat="1" ht="36">
      <c r="A10" s="2432">
        <v>2</v>
      </c>
      <c r="B10" s="748" t="s">
        <v>604</v>
      </c>
      <c r="C10" s="749">
        <f>C11+C14+C15</f>
        <v>0</v>
      </c>
      <c r="D10" s="760">
        <f>'数据-汇总表'!E3</f>
        <v>245924.74</v>
      </c>
      <c r="E10" s="749">
        <f>'数据-取费表'!B31</f>
        <v>0</v>
      </c>
      <c r="F10" s="761"/>
      <c r="G10" s="759" t="s">
        <v>605</v>
      </c>
    </row>
    <row r="11" spans="1:25" s="2167" customFormat="1" ht="13.5" customHeight="1">
      <c r="A11" s="2432" t="s">
        <v>2426</v>
      </c>
      <c r="B11" s="752" t="s">
        <v>601</v>
      </c>
      <c r="C11" s="753">
        <f>'数据-取费表'!B29</f>
        <v>0</v>
      </c>
      <c r="D11" s="754"/>
      <c r="E11" s="753"/>
      <c r="F11" s="755"/>
      <c r="G11" s="2441" t="s">
        <v>2437</v>
      </c>
    </row>
    <row r="12" spans="1:25" s="2167" customFormat="1" ht="13.5" customHeight="1">
      <c r="A12" s="2439" t="s">
        <v>2434</v>
      </c>
      <c r="B12" s="756" t="s">
        <v>602</v>
      </c>
      <c r="C12" s="757">
        <f>ROUND(D12*E12/10000,0)</f>
        <v>0</v>
      </c>
      <c r="D12" s="758">
        <f>'数据-汇总表'!E5</f>
        <v>0</v>
      </c>
      <c r="E12" s="757">
        <f>'数据-取费表'!B27</f>
        <v>50</v>
      </c>
      <c r="F12" s="755"/>
      <c r="G12" s="759"/>
    </row>
    <row r="13" spans="1:25" s="2167" customFormat="1" ht="13.5" customHeight="1">
      <c r="A13" s="2439" t="s">
        <v>2433</v>
      </c>
      <c r="B13" s="756" t="s">
        <v>603</v>
      </c>
      <c r="C13" s="757">
        <f>ROUND(D13*E13/10000,0)</f>
        <v>1230</v>
      </c>
      <c r="D13" s="758">
        <f>'数据-汇总表'!E6</f>
        <v>245924.74</v>
      </c>
      <c r="E13" s="757">
        <f>'数据-取费表'!B28</f>
        <v>50</v>
      </c>
      <c r="F13" s="755"/>
      <c r="G13" s="759"/>
    </row>
    <row r="14" spans="1:25" s="2167" customFormat="1" ht="13.5" customHeight="1">
      <c r="A14" s="2432" t="s">
        <v>2427</v>
      </c>
      <c r="B14" s="2438" t="s">
        <v>2430</v>
      </c>
      <c r="C14" s="2436"/>
      <c r="D14" s="758"/>
      <c r="E14" s="757"/>
      <c r="F14" s="2437"/>
      <c r="G14" s="2440" t="s">
        <v>2435</v>
      </c>
    </row>
    <row r="15" spans="1:25" s="2167" customFormat="1" ht="13.5" customHeight="1">
      <c r="A15" s="2432" t="s">
        <v>2432</v>
      </c>
      <c r="B15" s="2438" t="s">
        <v>2431</v>
      </c>
      <c r="C15" s="2436"/>
      <c r="D15" s="758"/>
      <c r="E15" s="757"/>
      <c r="F15" s="2437"/>
      <c r="G15" s="2440" t="s">
        <v>2436</v>
      </c>
    </row>
    <row r="16" spans="1:25" s="2168" customFormat="1" ht="48">
      <c r="A16" s="2432">
        <v>3</v>
      </c>
      <c r="B16" s="748" t="s">
        <v>606</v>
      </c>
      <c r="C16" s="2436"/>
      <c r="D16" s="760"/>
      <c r="E16" s="749"/>
      <c r="F16" s="761"/>
      <c r="G16" s="759" t="s">
        <v>2438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607</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608</v>
      </c>
      <c r="C18" s="749">
        <f>ROUND((C7+C10+C16)*F18,0)</f>
        <v>0</v>
      </c>
      <c r="D18" s="762"/>
      <c r="E18" s="763"/>
      <c r="F18" s="761">
        <f>'数据-取费表'!Q16</f>
        <v>0.17</v>
      </c>
      <c r="G18" s="765" t="s">
        <v>609</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610</v>
      </c>
      <c r="C19" s="749">
        <f ca="1">C7+C10+C16+C17+C18</f>
        <v>0</v>
      </c>
      <c r="D19" s="760"/>
      <c r="E19" s="749"/>
      <c r="F19" s="761"/>
      <c r="G19" s="765" t="s">
        <v>611</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612</v>
      </c>
      <c r="C20" s="749">
        <f ca="1">ROUND(C19*F20,0)</f>
        <v>0</v>
      </c>
      <c r="D20" s="760"/>
      <c r="E20" s="749"/>
      <c r="F20" s="1344"/>
      <c r="G20" s="765" t="s">
        <v>613</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614</v>
      </c>
      <c r="C21" s="749">
        <f ca="1">C19+C20</f>
        <v>0</v>
      </c>
      <c r="D21" s="760"/>
      <c r="E21" s="749"/>
      <c r="F21" s="761"/>
      <c r="G21" s="765" t="s">
        <v>615</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616</v>
      </c>
      <c r="C22" s="749">
        <f ca="1">ROUND(C21*F22,0)</f>
        <v>0</v>
      </c>
      <c r="D22" s="760"/>
      <c r="E22" s="749"/>
      <c r="F22" s="766">
        <f>'数据-取费表'!AP16</f>
        <v>0.83499999999999996</v>
      </c>
      <c r="G22" s="765" t="s">
        <v>617</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618</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2586" t="s">
        <v>710</v>
      </c>
      <c r="C1" s="2587" t="s">
        <v>711</v>
      </c>
      <c r="D1" s="2588"/>
      <c r="E1" s="2589"/>
      <c r="F1" s="2761"/>
      <c r="G1" s="1585" t="s">
        <v>712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458</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510</v>
      </c>
      <c r="B3" s="851" t="e">
        <f>C49</f>
        <v>#DIV/0!</v>
      </c>
      <c r="C3" s="852" t="s">
        <v>713</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512</v>
      </c>
      <c r="B4" s="513"/>
      <c r="C4" s="3391" t="s">
        <v>513</v>
      </c>
      <c r="D4" s="3392"/>
      <c r="E4" s="3425" t="s">
        <v>514</v>
      </c>
      <c r="F4" s="3426"/>
      <c r="G4" s="3391" t="s">
        <v>515</v>
      </c>
      <c r="H4" s="3392"/>
      <c r="I4" s="3391" t="s">
        <v>516</v>
      </c>
      <c r="J4" s="3392"/>
      <c r="K4" s="853" t="s">
        <v>517</v>
      </c>
      <c r="L4" s="2117"/>
      <c r="M4" s="2118"/>
      <c r="N4" s="2118"/>
      <c r="O4" s="2118"/>
      <c r="P4" s="3393" t="s">
        <v>518</v>
      </c>
      <c r="Q4" s="3394"/>
      <c r="R4" s="3399" t="s">
        <v>514</v>
      </c>
      <c r="S4" s="3400"/>
      <c r="T4" s="3399" t="s">
        <v>515</v>
      </c>
      <c r="U4" s="3400"/>
      <c r="V4" s="3386" t="s">
        <v>516</v>
      </c>
      <c r="W4" s="3386"/>
      <c r="X4" s="1552"/>
      <c r="Y4" s="3399" t="s">
        <v>518</v>
      </c>
      <c r="Z4" s="3400"/>
      <c r="AA4" s="3388" t="s">
        <v>514</v>
      </c>
      <c r="AB4" s="3388" t="s">
        <v>515</v>
      </c>
      <c r="AC4" s="3388" t="s">
        <v>516</v>
      </c>
    </row>
    <row r="5" spans="1:29" ht="15">
      <c r="A5" s="515"/>
      <c r="B5" s="516"/>
      <c r="C5" s="3407" t="s">
        <v>2916</v>
      </c>
      <c r="D5" s="3408"/>
      <c r="E5" s="3427" t="s">
        <v>2917</v>
      </c>
      <c r="F5" s="3428"/>
      <c r="G5" s="3407" t="s">
        <v>2918</v>
      </c>
      <c r="H5" s="3408"/>
      <c r="I5" s="3407" t="s">
        <v>2919</v>
      </c>
      <c r="J5" s="3408"/>
      <c r="K5" s="854"/>
      <c r="L5" s="2117"/>
      <c r="M5" s="2118"/>
      <c r="N5" s="2118"/>
      <c r="O5" s="2118"/>
      <c r="P5" s="3395"/>
      <c r="Q5" s="3396"/>
      <c r="R5" s="3401"/>
      <c r="S5" s="3402"/>
      <c r="T5" s="3401"/>
      <c r="U5" s="3402"/>
      <c r="V5" s="3386"/>
      <c r="W5" s="3386"/>
      <c r="X5" s="1552"/>
      <c r="Y5" s="3401"/>
      <c r="Z5" s="3402"/>
      <c r="AA5" s="3389"/>
      <c r="AB5" s="3389"/>
      <c r="AC5" s="3389"/>
    </row>
    <row r="6" spans="1:29" ht="15.75" thickBot="1">
      <c r="A6" s="517"/>
      <c r="B6" s="518"/>
      <c r="C6" s="3405" t="s">
        <v>2920</v>
      </c>
      <c r="D6" s="3406"/>
      <c r="E6" s="3423" t="s">
        <v>2920</v>
      </c>
      <c r="F6" s="3424"/>
      <c r="G6" s="3405" t="s">
        <v>2920</v>
      </c>
      <c r="H6" s="3406"/>
      <c r="I6" s="3405" t="s">
        <v>2920</v>
      </c>
      <c r="J6" s="3406"/>
      <c r="K6" s="854" t="s">
        <v>519</v>
      </c>
      <c r="L6" s="2117"/>
      <c r="M6" s="2118"/>
      <c r="N6" s="2118"/>
      <c r="O6" s="2118"/>
      <c r="P6" s="3397"/>
      <c r="Q6" s="3398"/>
      <c r="R6" s="3401"/>
      <c r="S6" s="3402"/>
      <c r="T6" s="3403"/>
      <c r="U6" s="3404"/>
      <c r="V6" s="3386"/>
      <c r="W6" s="3386"/>
      <c r="X6" s="1552"/>
      <c r="Y6" s="3403"/>
      <c r="Z6" s="3404"/>
      <c r="AA6" s="3390"/>
      <c r="AB6" s="3390"/>
      <c r="AC6" s="3390"/>
    </row>
    <row r="7" spans="1:29" s="1215" customFormat="1" ht="15.75" thickBot="1">
      <c r="A7" s="2866"/>
      <c r="B7" s="2873" t="s">
        <v>520</v>
      </c>
      <c r="C7" s="519">
        <f>'数据-取费表'!B2</f>
        <v>43998</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16" t="s">
        <v>521</v>
      </c>
      <c r="Q7" s="3418"/>
      <c r="R7" s="1553" t="s">
        <v>13</v>
      </c>
      <c r="S7" s="1554">
        <f t="shared" ref="S7:S15" si="0">F7</f>
        <v>0</v>
      </c>
      <c r="T7" s="1553" t="s">
        <v>13</v>
      </c>
      <c r="U7" s="1554">
        <f t="shared" ref="U7:U15" si="1">H7</f>
        <v>0</v>
      </c>
      <c r="V7" s="1553" t="s">
        <v>13</v>
      </c>
      <c r="W7" s="1554">
        <f t="shared" ref="W7:W15"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16" t="s">
        <v>524</v>
      </c>
      <c r="Q8" s="3417"/>
      <c r="R8" s="1553" t="s">
        <v>13</v>
      </c>
      <c r="S8" s="1554">
        <f t="shared" si="0"/>
        <v>0</v>
      </c>
      <c r="T8" s="1553" t="s">
        <v>13</v>
      </c>
      <c r="U8" s="1554">
        <f t="shared" si="1"/>
        <v>0</v>
      </c>
      <c r="V8" s="1553" t="s">
        <v>13</v>
      </c>
      <c r="W8" s="1554">
        <f t="shared" si="2"/>
        <v>0</v>
      </c>
      <c r="X8" s="1555"/>
      <c r="Y8" s="3416" t="s">
        <v>524</v>
      </c>
      <c r="Z8" s="3417"/>
      <c r="AA8" s="1556" t="e">
        <f t="shared" ref="AA8:AA46" si="3">D8/F8</f>
        <v>#DIV/0!</v>
      </c>
      <c r="AB8" s="1556" t="e">
        <f t="shared" ref="AB8:AB46" si="4">D8/H8</f>
        <v>#DIV/0!</v>
      </c>
      <c r="AC8" s="1556" t="e">
        <f t="shared" ref="AC8:AC46" si="5">D8/J8</f>
        <v>#DIV/0!</v>
      </c>
    </row>
    <row r="9" spans="1:29" s="1215" customFormat="1" ht="15">
      <c r="A9" s="2868"/>
      <c r="B9" s="2875" t="s">
        <v>2741</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5" t="s">
        <v>526</v>
      </c>
      <c r="Q9" s="1146" t="str">
        <f t="shared" ref="Q9:Q15" si="6">B9</f>
        <v>用途</v>
      </c>
      <c r="R9" s="1553" t="s">
        <v>8</v>
      </c>
      <c r="S9" s="1554">
        <f t="shared" si="0"/>
        <v>100</v>
      </c>
      <c r="T9" s="1553" t="s">
        <v>8</v>
      </c>
      <c r="U9" s="1554">
        <f t="shared" si="1"/>
        <v>100</v>
      </c>
      <c r="V9" s="1553" t="s">
        <v>8</v>
      </c>
      <c r="W9" s="1554">
        <f t="shared" si="2"/>
        <v>100</v>
      </c>
      <c r="X9" s="1555"/>
      <c r="Y9" s="3334" t="s">
        <v>527</v>
      </c>
      <c r="Z9" s="1145" t="str">
        <f t="shared" ref="Z9:Z15" si="7">Q9</f>
        <v>用途</v>
      </c>
      <c r="AA9" s="1556">
        <f t="shared" si="3"/>
        <v>1</v>
      </c>
      <c r="AB9" s="1556">
        <f t="shared" si="4"/>
        <v>1</v>
      </c>
      <c r="AC9" s="1556">
        <f t="shared" si="5"/>
        <v>1</v>
      </c>
    </row>
    <row r="10" spans="1:29" s="1333" customFormat="1" ht="27">
      <c r="A10" s="2869"/>
      <c r="B10" s="2874" t="s">
        <v>2742</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4" t="s">
        <v>2743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5"/>
      <c r="Q11" s="1146" t="str">
        <f t="shared" si="6"/>
        <v>容积率</v>
      </c>
      <c r="R11" s="1553" t="s">
        <v>11</v>
      </c>
      <c r="S11" s="1554" t="e">
        <f t="shared" si="0"/>
        <v>#N/A</v>
      </c>
      <c r="T11" s="1553" t="s">
        <v>11</v>
      </c>
      <c r="U11" s="1554" t="e">
        <f t="shared" si="1"/>
        <v>#N/A</v>
      </c>
      <c r="V11" s="1553" t="s">
        <v>11</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5"/>
      <c r="Q12" s="1146">
        <f t="shared" si="6"/>
        <v>111</v>
      </c>
      <c r="R12" s="1553" t="s">
        <v>11</v>
      </c>
      <c r="S12" s="1554">
        <f t="shared" si="0"/>
        <v>100</v>
      </c>
      <c r="T12" s="1553" t="s">
        <v>11</v>
      </c>
      <c r="U12" s="1554">
        <f t="shared" si="1"/>
        <v>100</v>
      </c>
      <c r="V12" s="1553" t="s">
        <v>11</v>
      </c>
      <c r="W12" s="1554">
        <f t="shared" si="2"/>
        <v>100</v>
      </c>
      <c r="X12" s="1555"/>
      <c r="Y12" s="3334"/>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5"/>
      <c r="Q13" s="1146">
        <f t="shared" si="6"/>
        <v>111</v>
      </c>
      <c r="R13" s="1553" t="s">
        <v>11</v>
      </c>
      <c r="S13" s="1554">
        <f t="shared" si="0"/>
        <v>100</v>
      </c>
      <c r="T13" s="1553" t="s">
        <v>11</v>
      </c>
      <c r="U13" s="1554">
        <f t="shared" si="1"/>
        <v>100</v>
      </c>
      <c r="V13" s="1553" t="s">
        <v>11</v>
      </c>
      <c r="W13" s="1554">
        <f t="shared" si="2"/>
        <v>100</v>
      </c>
      <c r="X13" s="1555"/>
      <c r="Y13" s="3334"/>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5"/>
      <c r="Q14" s="1146">
        <f t="shared" si="6"/>
        <v>111</v>
      </c>
      <c r="R14" s="1553" t="s">
        <v>11</v>
      </c>
      <c r="S14" s="1554">
        <f t="shared" si="0"/>
        <v>100</v>
      </c>
      <c r="T14" s="1553" t="s">
        <v>11</v>
      </c>
      <c r="U14" s="1554">
        <f t="shared" si="1"/>
        <v>100</v>
      </c>
      <c r="V14" s="1553" t="s">
        <v>11</v>
      </c>
      <c r="W14" s="1554">
        <f t="shared" si="2"/>
        <v>100</v>
      </c>
      <c r="X14" s="1555"/>
      <c r="Y14" s="3334"/>
      <c r="Z14" s="1145">
        <f t="shared" si="7"/>
        <v>111</v>
      </c>
      <c r="AA14" s="1556">
        <f t="shared" si="3"/>
        <v>1</v>
      </c>
      <c r="AB14" s="1556">
        <f t="shared" si="4"/>
        <v>1</v>
      </c>
      <c r="AC14" s="1556">
        <f t="shared" si="5"/>
        <v>1</v>
      </c>
    </row>
    <row r="15" spans="1:29" ht="99.75">
      <c r="A15" s="2864" t="s">
        <v>2739</v>
      </c>
      <c r="B15" s="166" t="s">
        <v>286</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9" t="s">
        <v>531</v>
      </c>
      <c r="Q15" s="1557" t="str">
        <f t="shared" si="6"/>
        <v>居住社区成熟度</v>
      </c>
      <c r="R15" s="1558" t="s">
        <v>11</v>
      </c>
      <c r="S15" s="1559">
        <f t="shared" si="0"/>
        <v>100</v>
      </c>
      <c r="T15" s="1558" t="s">
        <v>11</v>
      </c>
      <c r="U15" s="1559">
        <f t="shared" si="1"/>
        <v>100</v>
      </c>
      <c r="V15" s="1558" t="s">
        <v>11</v>
      </c>
      <c r="W15" s="1559">
        <f t="shared" si="2"/>
        <v>100</v>
      </c>
      <c r="X15" s="1552"/>
      <c r="Y15" s="3419" t="s">
        <v>531</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20"/>
      <c r="Q16" s="1557"/>
      <c r="R16" s="1558"/>
      <c r="S16" s="1559"/>
      <c r="T16" s="1558"/>
      <c r="U16" s="1559"/>
      <c r="V16" s="1558"/>
      <c r="W16" s="1559"/>
      <c r="X16" s="1552"/>
      <c r="Y16" s="3420"/>
      <c r="Z16" s="1560"/>
      <c r="AA16" s="1561">
        <v>1</v>
      </c>
      <c r="AB16" s="1561">
        <v>1</v>
      </c>
      <c r="AC16" s="1561">
        <v>1</v>
      </c>
    </row>
    <row r="17" spans="1:29" ht="85.5">
      <c r="A17" s="532"/>
      <c r="B17" s="871" t="s">
        <v>287</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20"/>
      <c r="Q17" s="1557" t="str">
        <f>B17</f>
        <v>交通便捷度</v>
      </c>
      <c r="R17" s="1558" t="s">
        <v>11</v>
      </c>
      <c r="S17" s="1559">
        <f>F17</f>
        <v>100</v>
      </c>
      <c r="T17" s="1558" t="s">
        <v>11</v>
      </c>
      <c r="U17" s="1559">
        <f>H17</f>
        <v>100</v>
      </c>
      <c r="V17" s="1558" t="s">
        <v>11</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2.75">
      <c r="A19" s="532"/>
      <c r="B19" s="2563" t="s">
        <v>2532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20"/>
      <c r="Q19" s="1557" t="str">
        <f>B19</f>
        <v>公共配套设施</v>
      </c>
      <c r="R19" s="1558" t="s">
        <v>11</v>
      </c>
      <c r="S19" s="1559">
        <f>F19</f>
        <v>100</v>
      </c>
      <c r="T19" s="1558" t="s">
        <v>11</v>
      </c>
      <c r="U19" s="1559">
        <f>H19</f>
        <v>100</v>
      </c>
      <c r="V19" s="1558" t="s">
        <v>11</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8.5">
      <c r="A21" s="532"/>
      <c r="B21" s="2556" t="s">
        <v>2544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20"/>
      <c r="Q21" s="2542" t="str">
        <f>B21</f>
        <v>基础设施水平</v>
      </c>
      <c r="R21" s="1558" t="s">
        <v>11</v>
      </c>
      <c r="S21" s="1559">
        <f>F21</f>
        <v>100</v>
      </c>
      <c r="T21" s="1558" t="s">
        <v>11</v>
      </c>
      <c r="U21" s="1559">
        <f>H21</f>
        <v>100</v>
      </c>
      <c r="V21" s="1558" t="s">
        <v>11</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7">
      <c r="A23" s="532"/>
      <c r="B23" s="871" t="s">
        <v>288</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20"/>
      <c r="Q23" s="1557" t="str">
        <f>B23</f>
        <v>自然及人文环境</v>
      </c>
      <c r="R23" s="1558" t="s">
        <v>11</v>
      </c>
      <c r="S23" s="1559">
        <f>F23</f>
        <v>100</v>
      </c>
      <c r="T23" s="1558" t="s">
        <v>11</v>
      </c>
      <c r="U23" s="1559">
        <f>H23</f>
        <v>100</v>
      </c>
      <c r="V23" s="1558" t="s">
        <v>11</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1879" t="s">
        <v>2243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20"/>
      <c r="Q25" s="1557" t="str">
        <f t="shared" ref="Q25:Q46" si="11">B25</f>
        <v>楼层-1</v>
      </c>
      <c r="R25" s="1558" t="s">
        <v>11</v>
      </c>
      <c r="S25" s="1559">
        <f>F25</f>
        <v>100</v>
      </c>
      <c r="T25" s="1558" t="s">
        <v>11</v>
      </c>
      <c r="U25" s="1559">
        <f>H25</f>
        <v>100</v>
      </c>
      <c r="V25" s="1558" t="s">
        <v>11</v>
      </c>
      <c r="W25" s="1559">
        <f>J25</f>
        <v>100</v>
      </c>
      <c r="X25" s="1552"/>
      <c r="Y25" s="3420"/>
      <c r="Z25" s="1560" t="str">
        <f>Q25</f>
        <v>楼层-1</v>
      </c>
      <c r="AA25" s="1561">
        <f t="shared" si="3"/>
        <v>1</v>
      </c>
      <c r="AB25" s="1561">
        <f t="shared" si="4"/>
        <v>1</v>
      </c>
      <c r="AC25" s="1561">
        <f t="shared" si="5"/>
        <v>1</v>
      </c>
    </row>
    <row r="26" spans="1:29" ht="15">
      <c r="A26" s="532"/>
      <c r="B26" s="527" t="s">
        <v>714</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20"/>
      <c r="Q26" s="1557" t="str">
        <f t="shared" si="11"/>
        <v>朝向</v>
      </c>
      <c r="R26" s="1558" t="s">
        <v>11</v>
      </c>
      <c r="S26" s="1559">
        <f>F26</f>
        <v>100</v>
      </c>
      <c r="T26" s="1558" t="s">
        <v>11</v>
      </c>
      <c r="U26" s="1559">
        <f>H26</f>
        <v>100</v>
      </c>
      <c r="V26" s="1558" t="s">
        <v>11</v>
      </c>
      <c r="W26" s="1559">
        <f>J26</f>
        <v>100</v>
      </c>
      <c r="X26" s="1552"/>
      <c r="Y26" s="3420"/>
      <c r="Z26" s="1560" t="str">
        <f>Q26</f>
        <v>朝向</v>
      </c>
      <c r="AA26" s="1561">
        <f t="shared" si="3"/>
        <v>1</v>
      </c>
      <c r="AB26" s="1561">
        <f t="shared" si="4"/>
        <v>1</v>
      </c>
      <c r="AC26" s="1561">
        <f t="shared" si="5"/>
        <v>1</v>
      </c>
    </row>
    <row r="27" spans="1:29" s="1215" customFormat="1" ht="15">
      <c r="A27" s="536"/>
      <c r="B27" s="537" t="s">
        <v>715</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20"/>
      <c r="Q27" s="1146" t="str">
        <f t="shared" si="11"/>
        <v>道路级别</v>
      </c>
      <c r="R27" s="1553" t="s">
        <v>11</v>
      </c>
      <c r="S27" s="1554">
        <f>F27</f>
        <v>100</v>
      </c>
      <c r="T27" s="1553" t="s">
        <v>11</v>
      </c>
      <c r="U27" s="1554">
        <f>H27</f>
        <v>100</v>
      </c>
      <c r="V27" s="1553" t="s">
        <v>11</v>
      </c>
      <c r="W27" s="1554">
        <f>J27</f>
        <v>100</v>
      </c>
      <c r="X27" s="1555"/>
      <c r="Y27" s="3420"/>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2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20"/>
      <c r="Q29" s="1557">
        <f t="shared" si="11"/>
        <v>111</v>
      </c>
      <c r="R29" s="1558" t="s">
        <v>11</v>
      </c>
      <c r="S29" s="1559">
        <f t="shared" si="12"/>
        <v>100</v>
      </c>
      <c r="T29" s="1558" t="s">
        <v>11</v>
      </c>
      <c r="U29" s="1559">
        <f t="shared" si="13"/>
        <v>100</v>
      </c>
      <c r="V29" s="1558" t="s">
        <v>11</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20"/>
      <c r="Q30" s="1557">
        <f t="shared" si="11"/>
        <v>111</v>
      </c>
      <c r="R30" s="1558" t="s">
        <v>11</v>
      </c>
      <c r="S30" s="1559">
        <f t="shared" si="12"/>
        <v>100</v>
      </c>
      <c r="T30" s="1558" t="s">
        <v>11</v>
      </c>
      <c r="U30" s="1559">
        <f t="shared" si="13"/>
        <v>100</v>
      </c>
      <c r="V30" s="1558" t="s">
        <v>11</v>
      </c>
      <c r="W30" s="1559">
        <f t="shared" si="14"/>
        <v>100</v>
      </c>
      <c r="X30" s="1552"/>
      <c r="Y30" s="3420"/>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20"/>
      <c r="Q31" s="1557">
        <f t="shared" si="11"/>
        <v>111</v>
      </c>
      <c r="R31" s="1558" t="s">
        <v>11</v>
      </c>
      <c r="S31" s="1559">
        <f t="shared" si="12"/>
        <v>100</v>
      </c>
      <c r="T31" s="1558" t="s">
        <v>11</v>
      </c>
      <c r="U31" s="1559">
        <f t="shared" si="13"/>
        <v>100</v>
      </c>
      <c r="V31" s="1558" t="s">
        <v>11</v>
      </c>
      <c r="W31" s="1559">
        <f t="shared" si="14"/>
        <v>100</v>
      </c>
      <c r="X31" s="1552"/>
      <c r="Y31" s="3420"/>
      <c r="Z31" s="1560">
        <f t="shared" si="15"/>
        <v>111</v>
      </c>
      <c r="AA31" s="1561">
        <f t="shared" si="3"/>
        <v>1</v>
      </c>
      <c r="AB31" s="1561">
        <f t="shared" si="4"/>
        <v>1</v>
      </c>
      <c r="AC31" s="1561">
        <f t="shared" si="5"/>
        <v>1</v>
      </c>
    </row>
    <row r="32" spans="1:29" ht="15">
      <c r="A32" s="2861" t="s">
        <v>2740</v>
      </c>
      <c r="B32" s="172" t="s">
        <v>716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21" t="s">
        <v>541</v>
      </c>
      <c r="Q32" s="1557" t="str">
        <f t="shared" si="11"/>
        <v>建筑类型</v>
      </c>
      <c r="R32" s="1558" t="s">
        <v>11</v>
      </c>
      <c r="S32" s="1559">
        <f t="shared" si="12"/>
        <v>100</v>
      </c>
      <c r="T32" s="1558" t="s">
        <v>11</v>
      </c>
      <c r="U32" s="1559">
        <f t="shared" si="13"/>
        <v>100</v>
      </c>
      <c r="V32" s="1558" t="s">
        <v>11</v>
      </c>
      <c r="W32" s="1559">
        <f t="shared" si="14"/>
        <v>100</v>
      </c>
      <c r="X32" s="1552"/>
      <c r="Y32" s="3422" t="s">
        <v>541</v>
      </c>
      <c r="Z32" s="1560" t="str">
        <f t="shared" si="15"/>
        <v>建筑类型</v>
      </c>
      <c r="AA32" s="1561">
        <f t="shared" si="3"/>
        <v>1</v>
      </c>
      <c r="AB32" s="1561">
        <f t="shared" si="4"/>
        <v>1</v>
      </c>
      <c r="AC32" s="1561">
        <f t="shared" si="5"/>
        <v>1</v>
      </c>
    </row>
    <row r="33" spans="1:29" s="1334" customFormat="1" ht="15">
      <c r="A33" s="603"/>
      <c r="B33" s="527" t="s">
        <v>717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22"/>
      <c r="Q33" s="1589" t="str">
        <f t="shared" si="11"/>
        <v>项目建筑规模</v>
      </c>
      <c r="R33" s="1562" t="s">
        <v>11</v>
      </c>
      <c r="S33" s="1563" t="e">
        <f t="shared" si="12"/>
        <v>#N/A</v>
      </c>
      <c r="T33" s="1562" t="s">
        <v>11</v>
      </c>
      <c r="U33" s="1563" t="e">
        <f t="shared" si="13"/>
        <v>#N/A</v>
      </c>
      <c r="V33" s="1562" t="s">
        <v>11</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718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22"/>
      <c r="Q34" s="1557" t="str">
        <f t="shared" si="11"/>
        <v>建筑结构</v>
      </c>
      <c r="R34" s="1558" t="s">
        <v>11</v>
      </c>
      <c r="S34" s="1559">
        <f t="shared" si="12"/>
        <v>100</v>
      </c>
      <c r="T34" s="1558" t="s">
        <v>11</v>
      </c>
      <c r="U34" s="1559">
        <f t="shared" si="13"/>
        <v>100</v>
      </c>
      <c r="V34" s="1558" t="s">
        <v>11</v>
      </c>
      <c r="W34" s="1559">
        <f t="shared" si="14"/>
        <v>100</v>
      </c>
      <c r="X34" s="1552"/>
      <c r="Y34" s="3422"/>
      <c r="Z34" s="1560" t="str">
        <f t="shared" si="15"/>
        <v>建筑结构</v>
      </c>
      <c r="AA34" s="1561">
        <f t="shared" si="3"/>
        <v>1</v>
      </c>
      <c r="AB34" s="1561">
        <f t="shared" si="4"/>
        <v>1</v>
      </c>
      <c r="AC34" s="1561">
        <f t="shared" si="5"/>
        <v>1</v>
      </c>
    </row>
    <row r="35" spans="1:29" ht="15">
      <c r="A35" s="594"/>
      <c r="B35" s="527" t="s">
        <v>719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22"/>
      <c r="Q35" s="1557" t="str">
        <f t="shared" si="11"/>
        <v>建筑品质</v>
      </c>
      <c r="R35" s="1558" t="s">
        <v>11</v>
      </c>
      <c r="S35" s="1559">
        <f t="shared" si="12"/>
        <v>100</v>
      </c>
      <c r="T35" s="1558" t="s">
        <v>11</v>
      </c>
      <c r="U35" s="1559">
        <f t="shared" si="13"/>
        <v>100</v>
      </c>
      <c r="V35" s="1558" t="s">
        <v>11</v>
      </c>
      <c r="W35" s="1559">
        <f t="shared" si="14"/>
        <v>100</v>
      </c>
      <c r="X35" s="1552"/>
      <c r="Y35" s="3422"/>
      <c r="Z35" s="1560" t="str">
        <f t="shared" si="15"/>
        <v>建筑品质</v>
      </c>
      <c r="AA35" s="1561">
        <f t="shared" si="3"/>
        <v>1</v>
      </c>
      <c r="AB35" s="1561">
        <f t="shared" si="4"/>
        <v>1</v>
      </c>
      <c r="AC35" s="1561">
        <f t="shared" si="5"/>
        <v>1</v>
      </c>
    </row>
    <row r="36" spans="1:29" ht="15">
      <c r="A36" s="594"/>
      <c r="B36" s="527" t="s">
        <v>720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22"/>
      <c r="Q36" s="1557" t="str">
        <f t="shared" si="11"/>
        <v>公共部分装修</v>
      </c>
      <c r="R36" s="1558" t="s">
        <v>11</v>
      </c>
      <c r="S36" s="1559">
        <f t="shared" si="12"/>
        <v>100</v>
      </c>
      <c r="T36" s="1558" t="s">
        <v>11</v>
      </c>
      <c r="U36" s="1559">
        <f t="shared" si="13"/>
        <v>100</v>
      </c>
      <c r="V36" s="1558" t="s">
        <v>11</v>
      </c>
      <c r="W36" s="1559">
        <f t="shared" si="14"/>
        <v>100</v>
      </c>
      <c r="X36" s="1552"/>
      <c r="Y36" s="3422"/>
      <c r="Z36" s="1560" t="str">
        <f t="shared" si="15"/>
        <v>公共部分装修</v>
      </c>
      <c r="AA36" s="1561">
        <f t="shared" si="3"/>
        <v>1</v>
      </c>
      <c r="AB36" s="1561">
        <f t="shared" si="4"/>
        <v>1</v>
      </c>
      <c r="AC36" s="1561">
        <f t="shared" si="5"/>
        <v>1</v>
      </c>
    </row>
    <row r="37" spans="1:29" s="1215" customFormat="1" ht="15">
      <c r="A37" s="600"/>
      <c r="B37" s="527" t="s">
        <v>721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22"/>
      <c r="Q37" s="1146" t="str">
        <f t="shared" si="11"/>
        <v>成新度</v>
      </c>
      <c r="R37" s="1553" t="s">
        <v>11</v>
      </c>
      <c r="S37" s="1554" t="e">
        <f t="shared" si="12"/>
        <v>#N/A</v>
      </c>
      <c r="T37" s="1553" t="s">
        <v>11</v>
      </c>
      <c r="U37" s="1554" t="e">
        <f t="shared" si="13"/>
        <v>#N/A</v>
      </c>
      <c r="V37" s="1553" t="s">
        <v>11</v>
      </c>
      <c r="W37" s="1554" t="e">
        <f t="shared" si="14"/>
        <v>#N/A</v>
      </c>
      <c r="X37" s="1555"/>
      <c r="Y37" s="3422"/>
      <c r="Z37" s="1145" t="str">
        <f t="shared" si="15"/>
        <v>成新度</v>
      </c>
      <c r="AA37" s="1556" t="e">
        <f t="shared" si="3"/>
        <v>#N/A</v>
      </c>
      <c r="AB37" s="1556" t="e">
        <f t="shared" si="4"/>
        <v>#N/A</v>
      </c>
      <c r="AC37" s="1556" t="e">
        <f t="shared" si="5"/>
        <v>#N/A</v>
      </c>
    </row>
    <row r="38" spans="1:29" ht="15">
      <c r="A38" s="594"/>
      <c r="B38" s="527" t="s">
        <v>722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22" t="s">
        <v>541</v>
      </c>
      <c r="Q38" s="1557" t="str">
        <f t="shared" si="11"/>
        <v>物业管理</v>
      </c>
      <c r="R38" s="1558" t="s">
        <v>11</v>
      </c>
      <c r="S38" s="1559">
        <f t="shared" si="12"/>
        <v>100</v>
      </c>
      <c r="T38" s="1558" t="s">
        <v>11</v>
      </c>
      <c r="U38" s="1559">
        <f t="shared" si="13"/>
        <v>100</v>
      </c>
      <c r="V38" s="1558" t="s">
        <v>11</v>
      </c>
      <c r="W38" s="1559">
        <f t="shared" si="14"/>
        <v>100</v>
      </c>
      <c r="X38" s="1552"/>
      <c r="Y38" s="3422" t="s">
        <v>541</v>
      </c>
      <c r="Z38" s="1560" t="str">
        <f t="shared" si="15"/>
        <v>物业管理</v>
      </c>
      <c r="AA38" s="1561">
        <f t="shared" si="3"/>
        <v>1</v>
      </c>
      <c r="AB38" s="1561">
        <f t="shared" si="4"/>
        <v>1</v>
      </c>
      <c r="AC38" s="1561">
        <f t="shared" si="5"/>
        <v>1</v>
      </c>
    </row>
    <row r="39" spans="1:29" ht="15">
      <c r="A39" s="594"/>
      <c r="B39" s="1879" t="s">
        <v>2550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22"/>
      <c r="Q39" s="1557" t="str">
        <f t="shared" si="11"/>
        <v>市政基础设施</v>
      </c>
      <c r="R39" s="1558" t="s">
        <v>11</v>
      </c>
      <c r="S39" s="1559">
        <f t="shared" si="12"/>
        <v>100</v>
      </c>
      <c r="T39" s="1558" t="s">
        <v>11</v>
      </c>
      <c r="U39" s="1559">
        <f t="shared" si="13"/>
        <v>100</v>
      </c>
      <c r="V39" s="1558" t="s">
        <v>11</v>
      </c>
      <c r="W39" s="1559">
        <f t="shared" si="14"/>
        <v>100</v>
      </c>
      <c r="X39" s="1552"/>
      <c r="Y39" s="3422"/>
      <c r="Z39" s="1560" t="str">
        <f t="shared" si="15"/>
        <v>市政基础设施</v>
      </c>
      <c r="AA39" s="1561">
        <f t="shared" si="3"/>
        <v>1</v>
      </c>
      <c r="AB39" s="1561">
        <f t="shared" si="4"/>
        <v>1</v>
      </c>
      <c r="AC39" s="1561">
        <f t="shared" si="5"/>
        <v>1</v>
      </c>
    </row>
    <row r="40" spans="1:29" ht="15">
      <c r="A40" s="594"/>
      <c r="B40" s="527" t="s">
        <v>723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2"/>
      <c r="Q40" s="1557" t="str">
        <f t="shared" si="11"/>
        <v>房型</v>
      </c>
      <c r="R40" s="1558" t="s">
        <v>11</v>
      </c>
      <c r="S40" s="1559">
        <f t="shared" si="12"/>
        <v>100</v>
      </c>
      <c r="T40" s="1558" t="s">
        <v>11</v>
      </c>
      <c r="U40" s="1559">
        <f t="shared" si="13"/>
        <v>100</v>
      </c>
      <c r="V40" s="1558" t="s">
        <v>11</v>
      </c>
      <c r="W40" s="1559">
        <f t="shared" si="14"/>
        <v>100</v>
      </c>
      <c r="X40" s="1552"/>
      <c r="Y40" s="3422"/>
      <c r="Z40" s="1560" t="str">
        <f t="shared" si="15"/>
        <v>房型</v>
      </c>
      <c r="AA40" s="1561">
        <f t="shared" si="3"/>
        <v>1</v>
      </c>
      <c r="AB40" s="1561">
        <f t="shared" si="4"/>
        <v>1</v>
      </c>
      <c r="AC40" s="1561">
        <f t="shared" si="5"/>
        <v>1</v>
      </c>
    </row>
    <row r="41" spans="1:29" s="1334" customFormat="1" ht="28.5">
      <c r="A41" s="603"/>
      <c r="B41" s="527" t="s">
        <v>724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2"/>
      <c r="Q41" s="1589" t="str">
        <f t="shared" si="11"/>
        <v>单套/主力户型建筑面积</v>
      </c>
      <c r="R41" s="1562" t="s">
        <v>11</v>
      </c>
      <c r="S41" s="1563">
        <f t="shared" si="12"/>
        <v>100</v>
      </c>
      <c r="T41" s="1562" t="s">
        <v>11</v>
      </c>
      <c r="U41" s="1563">
        <f t="shared" si="13"/>
        <v>100</v>
      </c>
      <c r="V41" s="1562" t="s">
        <v>11</v>
      </c>
      <c r="W41" s="1563">
        <f t="shared" si="14"/>
        <v>100</v>
      </c>
      <c r="X41" s="1564"/>
      <c r="Y41" s="3422"/>
      <c r="Z41" s="1565" t="str">
        <f t="shared" si="15"/>
        <v>单套/主力户型建筑面积</v>
      </c>
      <c r="AA41" s="1561">
        <f t="shared" si="3"/>
        <v>1</v>
      </c>
      <c r="AB41" s="1561">
        <f t="shared" si="4"/>
        <v>1</v>
      </c>
      <c r="AC41" s="1561">
        <f t="shared" si="5"/>
        <v>1</v>
      </c>
    </row>
    <row r="42" spans="1:29" ht="15">
      <c r="A42" s="594"/>
      <c r="B42" s="527" t="s">
        <v>725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22"/>
      <c r="Q42" s="1557" t="str">
        <f t="shared" si="11"/>
        <v>内部装修</v>
      </c>
      <c r="R42" s="1558" t="s">
        <v>11</v>
      </c>
      <c r="S42" s="1559">
        <f t="shared" si="12"/>
        <v>100</v>
      </c>
      <c r="T42" s="1558" t="s">
        <v>11</v>
      </c>
      <c r="U42" s="1559">
        <f t="shared" si="13"/>
        <v>100</v>
      </c>
      <c r="V42" s="1558" t="s">
        <v>11</v>
      </c>
      <c r="W42" s="1559">
        <f t="shared" si="14"/>
        <v>100</v>
      </c>
      <c r="X42" s="1552"/>
      <c r="Y42" s="3422"/>
      <c r="Z42" s="1560" t="str">
        <f t="shared" si="15"/>
        <v>内部装修</v>
      </c>
      <c r="AA42" s="1561">
        <f t="shared" si="3"/>
        <v>1</v>
      </c>
      <c r="AB42" s="1561">
        <f t="shared" si="4"/>
        <v>1</v>
      </c>
      <c r="AC42" s="1561">
        <f t="shared" si="5"/>
        <v>1</v>
      </c>
    </row>
    <row r="43" spans="1:29" ht="27">
      <c r="A43" s="594"/>
      <c r="B43" s="527" t="s">
        <v>726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22"/>
      <c r="Q43" s="1557" t="str">
        <f t="shared" si="11"/>
        <v>内部装修维护情况</v>
      </c>
      <c r="R43" s="1558" t="s">
        <v>11</v>
      </c>
      <c r="S43" s="1559">
        <f t="shared" si="12"/>
        <v>100</v>
      </c>
      <c r="T43" s="1558" t="s">
        <v>11</v>
      </c>
      <c r="U43" s="1559">
        <f t="shared" si="13"/>
        <v>100</v>
      </c>
      <c r="V43" s="1558" t="s">
        <v>11</v>
      </c>
      <c r="W43" s="1559">
        <f t="shared" si="14"/>
        <v>100</v>
      </c>
      <c r="X43" s="1552"/>
      <c r="Y43" s="3422"/>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2"/>
      <c r="Q44" s="1146">
        <f t="shared" si="11"/>
        <v>111</v>
      </c>
      <c r="R44" s="1553" t="s">
        <v>11</v>
      </c>
      <c r="S44" s="1554">
        <f t="shared" si="12"/>
        <v>100</v>
      </c>
      <c r="T44" s="1553" t="s">
        <v>11</v>
      </c>
      <c r="U44" s="1554">
        <f t="shared" si="13"/>
        <v>100</v>
      </c>
      <c r="V44" s="1553" t="s">
        <v>11</v>
      </c>
      <c r="W44" s="1554">
        <f t="shared" si="14"/>
        <v>100</v>
      </c>
      <c r="X44" s="1555"/>
      <c r="Y44" s="342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2"/>
      <c r="Q45" s="1557">
        <f t="shared" si="11"/>
        <v>111</v>
      </c>
      <c r="R45" s="1558" t="s">
        <v>11</v>
      </c>
      <c r="S45" s="1559">
        <f t="shared" si="12"/>
        <v>100</v>
      </c>
      <c r="T45" s="1558" t="s">
        <v>11</v>
      </c>
      <c r="U45" s="1559">
        <f t="shared" si="13"/>
        <v>100</v>
      </c>
      <c r="V45" s="1558" t="s">
        <v>11</v>
      </c>
      <c r="W45" s="1559">
        <f t="shared" si="14"/>
        <v>100</v>
      </c>
      <c r="X45" s="1552"/>
      <c r="Y45" s="3422"/>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3"/>
      <c r="Q46" s="1557">
        <f t="shared" si="11"/>
        <v>111</v>
      </c>
      <c r="R46" s="1558" t="s">
        <v>10</v>
      </c>
      <c r="S46" s="1559">
        <f t="shared" si="12"/>
        <v>100</v>
      </c>
      <c r="T46" s="1558" t="s">
        <v>10</v>
      </c>
      <c r="U46" s="1559">
        <f t="shared" si="13"/>
        <v>100</v>
      </c>
      <c r="V46" s="1558" t="s">
        <v>10</v>
      </c>
      <c r="W46" s="1559">
        <f t="shared" si="14"/>
        <v>100</v>
      </c>
      <c r="X46" s="1552"/>
      <c r="Y46" s="3503"/>
      <c r="Z46" s="1560">
        <f t="shared" si="15"/>
        <v>111</v>
      </c>
      <c r="AA46" s="1561">
        <f t="shared" si="3"/>
        <v>1</v>
      </c>
      <c r="AB46" s="1561">
        <f t="shared" si="4"/>
        <v>1</v>
      </c>
      <c r="AC46" s="1561">
        <f t="shared" si="5"/>
        <v>1</v>
      </c>
    </row>
    <row r="47" spans="1:29" ht="15">
      <c r="A47" s="607" t="s">
        <v>727</v>
      </c>
      <c r="B47" s="887"/>
      <c r="C47" s="2590" t="s">
        <v>9</v>
      </c>
      <c r="D47" s="2591"/>
      <c r="E47" s="2592"/>
      <c r="F47" s="2593"/>
      <c r="G47" s="2594"/>
      <c r="H47" s="2595"/>
      <c r="I47" s="2592"/>
      <c r="J47" s="2595"/>
      <c r="K47" s="1590"/>
      <c r="L47" s="2128"/>
      <c r="M47" s="2129"/>
      <c r="N47" s="2118"/>
      <c r="O47" s="2129"/>
      <c r="P47" s="3385" t="str">
        <f>A47</f>
        <v>成交单价（元/平方米）</v>
      </c>
      <c r="Q47" s="3385"/>
      <c r="R47" s="3502">
        <f>E47</f>
        <v>0</v>
      </c>
      <c r="S47" s="3502"/>
      <c r="T47" s="3502">
        <f>G47</f>
        <v>0</v>
      </c>
      <c r="U47" s="3502"/>
      <c r="V47" s="3502">
        <f>I47</f>
        <v>0</v>
      </c>
      <c r="W47" s="3502"/>
      <c r="X47" s="1544"/>
      <c r="Y47" s="1566"/>
      <c r="Z47" s="1544"/>
      <c r="AA47" s="1544"/>
      <c r="AB47" s="1544"/>
      <c r="AC47" s="1544"/>
    </row>
    <row r="48" spans="1:29" ht="15.75" thickBot="1">
      <c r="A48" s="615" t="s">
        <v>2745</v>
      </c>
      <c r="B48" s="888"/>
      <c r="C48" s="2596" t="e">
        <f>R49</f>
        <v>#DIV/0!</v>
      </c>
      <c r="D48" s="2597"/>
      <c r="E48" s="2598" t="e">
        <f>R48</f>
        <v>#DIV/0!</v>
      </c>
      <c r="F48" s="2598"/>
      <c r="G48" s="2596" t="e">
        <f>T48</f>
        <v>#DIV/0!</v>
      </c>
      <c r="H48" s="2597"/>
      <c r="I48" s="2598" t="e">
        <f>V48</f>
        <v>#DIV/0!</v>
      </c>
      <c r="J48" s="2597"/>
      <c r="K48" s="1591"/>
      <c r="L48" s="2128"/>
      <c r="M48" s="2129"/>
      <c r="N48" s="2129"/>
      <c r="O48" s="2129"/>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75" thickBot="1">
      <c r="A49" s="621" t="s">
        <v>2922</v>
      </c>
      <c r="B49" s="622"/>
      <c r="C49" s="2599" t="e">
        <f>R49</f>
        <v>#DIV/0!</v>
      </c>
      <c r="D49" s="2599"/>
      <c r="E49" s="2599"/>
      <c r="F49" s="2599"/>
      <c r="G49" s="2599"/>
      <c r="H49" s="2599"/>
      <c r="I49" s="2599"/>
      <c r="J49" s="2599"/>
      <c r="K49" s="1592"/>
      <c r="L49" s="2128"/>
      <c r="M49" s="2129"/>
      <c r="N49" s="2129"/>
      <c r="O49" s="2129"/>
      <c r="P49" s="3382" t="str">
        <f>A49</f>
        <v>估价对象XX用房的比较价格（楼面单价，元/平方米）</v>
      </c>
      <c r="Q49" s="3383"/>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548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549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565</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520</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566</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522</v>
      </c>
      <c r="B61" s="648"/>
      <c r="C61" s="660" t="s">
        <v>567</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568</v>
      </c>
      <c r="B63" s="665" t="s">
        <v>525</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528</v>
      </c>
      <c r="C65" s="674" t="s">
        <v>728</v>
      </c>
      <c r="D65" s="674" t="s">
        <v>729</v>
      </c>
      <c r="E65" s="674" t="s">
        <v>730</v>
      </c>
      <c r="F65" s="674" t="s">
        <v>731</v>
      </c>
      <c r="G65" s="674" t="s">
        <v>732</v>
      </c>
      <c r="H65" s="674" t="s">
        <v>733</v>
      </c>
      <c r="I65" s="674" t="s">
        <v>734</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529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530</v>
      </c>
      <c r="B76" s="665" t="s">
        <v>569</v>
      </c>
      <c r="C76" s="703" t="s">
        <v>570</v>
      </c>
      <c r="D76" s="703" t="s">
        <v>571</v>
      </c>
      <c r="E76" s="703" t="s">
        <v>572</v>
      </c>
      <c r="F76" s="703" t="s">
        <v>573</v>
      </c>
      <c r="G76" s="703" t="s">
        <v>574</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577</v>
      </c>
      <c r="C78" s="708" t="s">
        <v>570</v>
      </c>
      <c r="D78" s="708" t="s">
        <v>571</v>
      </c>
      <c r="E78" s="708" t="s">
        <v>572</v>
      </c>
      <c r="F78" s="708" t="s">
        <v>573</v>
      </c>
      <c r="G78" s="708" t="s">
        <v>574</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2543</v>
      </c>
      <c r="C80" s="708" t="s">
        <v>570</v>
      </c>
      <c r="D80" s="708" t="s">
        <v>571</v>
      </c>
      <c r="E80" s="708" t="s">
        <v>572</v>
      </c>
      <c r="F80" s="708" t="s">
        <v>573</v>
      </c>
      <c r="G80" s="708" t="s">
        <v>574</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2544</v>
      </c>
      <c r="C82" s="2561" t="s">
        <v>2545</v>
      </c>
      <c r="D82" s="2561" t="s">
        <v>2546</v>
      </c>
      <c r="E82" s="2561" t="s">
        <v>2547</v>
      </c>
      <c r="F82" s="2561" t="s">
        <v>2548</v>
      </c>
      <c r="G82" s="2561" t="s">
        <v>2549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735</v>
      </c>
      <c r="C84" s="708" t="s">
        <v>570</v>
      </c>
      <c r="D84" s="708" t="s">
        <v>571</v>
      </c>
      <c r="E84" s="708" t="s">
        <v>572</v>
      </c>
      <c r="F84" s="708" t="s">
        <v>573</v>
      </c>
      <c r="G84" s="708" t="s">
        <v>574</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2244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737</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542</v>
      </c>
      <c r="B100" s="665" t="s">
        <v>738</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739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740</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741</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742</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743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744</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2542</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745</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724</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746</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747</v>
      </c>
      <c r="C124" s="708" t="s">
        <v>570</v>
      </c>
      <c r="D124" s="708" t="s">
        <v>571</v>
      </c>
      <c r="E124" s="708" t="s">
        <v>572</v>
      </c>
      <c r="F124" s="708" t="s">
        <v>573</v>
      </c>
      <c r="G124" s="708" t="s">
        <v>574</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2245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2246</v>
      </c>
      <c r="C137" s="1903"/>
      <c r="D137" s="1903"/>
      <c r="E137" s="1903"/>
      <c r="F137" s="1903"/>
      <c r="G137" s="1904"/>
      <c r="H137" s="1905"/>
      <c r="I137" s="1906" t="s">
        <v>2247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2248</v>
      </c>
      <c r="D138" s="1909" t="s">
        <v>2249</v>
      </c>
      <c r="E138" s="1910" t="s">
        <v>2250</v>
      </c>
      <c r="F138" s="1911" t="s">
        <v>2251</v>
      </c>
      <c r="G138" s="1909" t="s">
        <v>2252</v>
      </c>
      <c r="H138" s="1912" t="s">
        <v>2253</v>
      </c>
      <c r="I138" s="1913"/>
      <c r="J138" s="1909" t="s">
        <v>2254</v>
      </c>
      <c r="K138" s="1912" t="s">
        <v>2255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2256</v>
      </c>
      <c r="E139" s="1883">
        <v>100</v>
      </c>
      <c r="F139" s="1884">
        <v>102.5</v>
      </c>
      <c r="G139" s="1914" t="s">
        <v>2257</v>
      </c>
      <c r="H139" s="1885">
        <v>105</v>
      </c>
      <c r="I139" s="1915" t="s">
        <v>2258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2259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2262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2263</v>
      </c>
      <c r="E144" s="1889">
        <v>102</v>
      </c>
      <c r="F144" s="1895">
        <v>100</v>
      </c>
      <c r="G144" s="1918" t="s">
        <v>2263</v>
      </c>
      <c r="H144" s="1891">
        <v>105</v>
      </c>
      <c r="I144" s="1917" t="s">
        <v>2262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2264</v>
      </c>
      <c r="C145" s="1896">
        <f>ROUND(MAX(C139:C144)/MIN(C139:C144)-1,3)</f>
        <v>7.2999999999999995E-2</v>
      </c>
      <c r="D145" s="1920"/>
      <c r="E145" s="1920"/>
      <c r="F145" s="1921" t="s">
        <v>2265</v>
      </c>
      <c r="G145" s="1922"/>
      <c r="H145" s="1923"/>
      <c r="I145" s="1924" t="s">
        <v>2262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2273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2274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503" t="s">
        <v>748</v>
      </c>
      <c r="C1" s="504" t="s">
        <v>711</v>
      </c>
      <c r="D1" s="2333"/>
      <c r="E1" s="506"/>
      <c r="F1" s="2761"/>
      <c r="G1" s="1585" t="s">
        <v>712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458</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510</v>
      </c>
      <c r="B3" s="510" t="e">
        <f>C49</f>
        <v>#DIV/0!</v>
      </c>
      <c r="C3" s="852" t="s">
        <v>713</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512</v>
      </c>
      <c r="B4" s="513"/>
      <c r="C4" s="3391" t="s">
        <v>513</v>
      </c>
      <c r="D4" s="3392"/>
      <c r="E4" s="3425" t="s">
        <v>514</v>
      </c>
      <c r="F4" s="3426"/>
      <c r="G4" s="3391" t="s">
        <v>515</v>
      </c>
      <c r="H4" s="3392"/>
      <c r="I4" s="3391" t="s">
        <v>516</v>
      </c>
      <c r="J4" s="3392"/>
      <c r="K4" s="514" t="s">
        <v>517</v>
      </c>
      <c r="L4" s="2117"/>
      <c r="M4" s="2118"/>
      <c r="N4" s="2118"/>
      <c r="O4" s="2118"/>
      <c r="P4" s="3393" t="s">
        <v>518</v>
      </c>
      <c r="Q4" s="3394"/>
      <c r="R4" s="3399" t="s">
        <v>514</v>
      </c>
      <c r="S4" s="3400"/>
      <c r="T4" s="3399" t="s">
        <v>515</v>
      </c>
      <c r="U4" s="3400"/>
      <c r="V4" s="3386" t="s">
        <v>516</v>
      </c>
      <c r="W4" s="3386"/>
      <c r="X4" s="1552"/>
      <c r="Y4" s="3399" t="s">
        <v>518</v>
      </c>
      <c r="Z4" s="3400"/>
      <c r="AA4" s="3388" t="s">
        <v>514</v>
      </c>
      <c r="AB4" s="3386" t="s">
        <v>515</v>
      </c>
      <c r="AC4" s="3388" t="s">
        <v>516</v>
      </c>
    </row>
    <row r="5" spans="1:29" ht="15">
      <c r="A5" s="515"/>
      <c r="B5" s="516"/>
      <c r="C5" s="3407" t="s">
        <v>2916</v>
      </c>
      <c r="D5" s="3408"/>
      <c r="E5" s="3427" t="s">
        <v>2917</v>
      </c>
      <c r="F5" s="3428"/>
      <c r="G5" s="3407" t="s">
        <v>2918</v>
      </c>
      <c r="H5" s="3408"/>
      <c r="I5" s="3407" t="s">
        <v>2919</v>
      </c>
      <c r="J5" s="3408"/>
      <c r="K5" s="514"/>
      <c r="L5" s="2117"/>
      <c r="M5" s="2118"/>
      <c r="N5" s="2118"/>
      <c r="O5" s="2118"/>
      <c r="P5" s="3395"/>
      <c r="Q5" s="3396"/>
      <c r="R5" s="3401"/>
      <c r="S5" s="3402"/>
      <c r="T5" s="3401"/>
      <c r="U5" s="3402"/>
      <c r="V5" s="3386"/>
      <c r="W5" s="3386"/>
      <c r="X5" s="1552"/>
      <c r="Y5" s="3401"/>
      <c r="Z5" s="3402"/>
      <c r="AA5" s="3389"/>
      <c r="AB5" s="3386"/>
      <c r="AC5" s="3389"/>
    </row>
    <row r="6" spans="1:29" ht="15.75" thickBot="1">
      <c r="A6" s="517"/>
      <c r="B6" s="518"/>
      <c r="C6" s="3405" t="s">
        <v>2920</v>
      </c>
      <c r="D6" s="3406"/>
      <c r="E6" s="3423" t="s">
        <v>2920</v>
      </c>
      <c r="F6" s="3424"/>
      <c r="G6" s="3405" t="s">
        <v>2920</v>
      </c>
      <c r="H6" s="3406"/>
      <c r="I6" s="3405" t="s">
        <v>2920</v>
      </c>
      <c r="J6" s="3406"/>
      <c r="K6" s="514" t="s">
        <v>519</v>
      </c>
      <c r="L6" s="2117"/>
      <c r="M6" s="2118"/>
      <c r="N6" s="2118"/>
      <c r="O6" s="2118"/>
      <c r="P6" s="3397"/>
      <c r="Q6" s="3398"/>
      <c r="R6" s="3401"/>
      <c r="S6" s="3402"/>
      <c r="T6" s="3403"/>
      <c r="U6" s="3404"/>
      <c r="V6" s="3386"/>
      <c r="W6" s="3386"/>
      <c r="X6" s="1552"/>
      <c r="Y6" s="3403"/>
      <c r="Z6" s="3404"/>
      <c r="AA6" s="3390"/>
      <c r="AB6" s="3386"/>
      <c r="AC6" s="3390"/>
    </row>
    <row r="7" spans="1:29" s="1215" customFormat="1" ht="15.75" thickBot="1">
      <c r="A7" s="2866"/>
      <c r="B7" s="2873" t="s">
        <v>520</v>
      </c>
      <c r="C7" s="519">
        <f>'数据-取费表'!B2</f>
        <v>43998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6" t="s">
        <v>521</v>
      </c>
      <c r="Q7" s="3418"/>
      <c r="R7" s="1553" t="s">
        <v>8</v>
      </c>
      <c r="S7" s="1554">
        <f t="shared" ref="S7:S15" si="0">F7</f>
        <v>0</v>
      </c>
      <c r="T7" s="1553" t="s">
        <v>8</v>
      </c>
      <c r="U7" s="1554">
        <f t="shared" ref="U7:U15" si="1">H7</f>
        <v>0</v>
      </c>
      <c r="V7" s="1553" t="s">
        <v>8</v>
      </c>
      <c r="W7" s="1554">
        <f t="shared" ref="W7:W15"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6" t="s">
        <v>524</v>
      </c>
      <c r="Q8" s="3417"/>
      <c r="R8" s="1553" t="s">
        <v>8</v>
      </c>
      <c r="S8" s="1554">
        <f t="shared" si="0"/>
        <v>0</v>
      </c>
      <c r="T8" s="1553" t="s">
        <v>8</v>
      </c>
      <c r="U8" s="1554">
        <f t="shared" si="1"/>
        <v>0</v>
      </c>
      <c r="V8" s="1553" t="s">
        <v>8</v>
      </c>
      <c r="W8" s="1554">
        <f t="shared" si="2"/>
        <v>0</v>
      </c>
      <c r="X8" s="1555"/>
      <c r="Y8" s="3416" t="s">
        <v>524</v>
      </c>
      <c r="Z8" s="3417"/>
      <c r="AA8" s="1556" t="e">
        <f t="shared" ref="AA8:AA46" si="3">D8/F8</f>
        <v>#DIV/0!</v>
      </c>
      <c r="AB8" s="1556" t="e">
        <f t="shared" ref="AB8:AB46" si="4">D8/H8</f>
        <v>#DIV/0!</v>
      </c>
      <c r="AC8" s="1556" t="e">
        <f t="shared" ref="AC8:AC46" si="5">D8/J8</f>
        <v>#DIV/0!</v>
      </c>
    </row>
    <row r="9" spans="1:29" s="1215" customFormat="1" ht="15">
      <c r="A9" s="2868"/>
      <c r="B9" s="2875" t="s">
        <v>2741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5" t="s">
        <v>526</v>
      </c>
      <c r="Q9" s="1146" t="str">
        <f t="shared" ref="Q9:Q15" si="6">B9</f>
        <v>用途</v>
      </c>
      <c r="R9" s="1553" t="s">
        <v>8</v>
      </c>
      <c r="S9" s="1554">
        <f t="shared" si="0"/>
        <v>100</v>
      </c>
      <c r="T9" s="1553" t="s">
        <v>8</v>
      </c>
      <c r="U9" s="1554">
        <f t="shared" si="1"/>
        <v>100</v>
      </c>
      <c r="V9" s="1553" t="s">
        <v>8</v>
      </c>
      <c r="W9" s="1554">
        <f t="shared" si="2"/>
        <v>100</v>
      </c>
      <c r="X9" s="1555"/>
      <c r="Y9" s="3334" t="s">
        <v>527</v>
      </c>
      <c r="Z9" s="1145" t="str">
        <f t="shared" ref="Z9:Z15" si="7">Q9</f>
        <v>用途</v>
      </c>
      <c r="AA9" s="1556">
        <f t="shared" si="3"/>
        <v>1</v>
      </c>
      <c r="AB9" s="1556">
        <f t="shared" si="4"/>
        <v>1</v>
      </c>
      <c r="AC9" s="1556">
        <f t="shared" si="5"/>
        <v>1</v>
      </c>
    </row>
    <row r="10" spans="1:29" s="1333" customFormat="1" ht="27">
      <c r="A10" s="2869"/>
      <c r="B10" s="2874" t="s">
        <v>2742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4" t="s">
        <v>2743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5"/>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5"/>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5"/>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5"/>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71.25">
      <c r="A15" s="2864" t="s">
        <v>2739</v>
      </c>
      <c r="B15" s="166" t="s">
        <v>532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9" t="s">
        <v>531</v>
      </c>
      <c r="Q15" s="1557" t="str">
        <f t="shared" si="6"/>
        <v>商业繁华度</v>
      </c>
      <c r="R15" s="1558" t="s">
        <v>8</v>
      </c>
      <c r="S15" s="1559">
        <f t="shared" si="0"/>
        <v>100</v>
      </c>
      <c r="T15" s="1558" t="s">
        <v>8</v>
      </c>
      <c r="U15" s="1559">
        <f t="shared" si="1"/>
        <v>100</v>
      </c>
      <c r="V15" s="1558" t="s">
        <v>8</v>
      </c>
      <c r="W15" s="1559">
        <f t="shared" si="2"/>
        <v>100</v>
      </c>
      <c r="X15" s="1552"/>
      <c r="Y15" s="3419" t="s">
        <v>531</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85.5">
      <c r="A17" s="532"/>
      <c r="B17" s="871" t="s">
        <v>287</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2.75">
      <c r="A19" s="532"/>
      <c r="B19" s="2563" t="s">
        <v>2532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8.5">
      <c r="A21" s="532"/>
      <c r="B21" s="2556" t="s">
        <v>2544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57">
      <c r="A23" s="532"/>
      <c r="B23" s="871" t="s">
        <v>288</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20"/>
      <c r="Q23" s="1557" t="str">
        <f>B23</f>
        <v>自然及人文环境</v>
      </c>
      <c r="R23" s="1558" t="s">
        <v>8</v>
      </c>
      <c r="S23" s="1559">
        <f>F23</f>
        <v>100</v>
      </c>
      <c r="T23" s="1558" t="s">
        <v>8</v>
      </c>
      <c r="U23" s="1559">
        <f>H23</f>
        <v>100</v>
      </c>
      <c r="V23" s="1558" t="s">
        <v>8</v>
      </c>
      <c r="W23" s="1559">
        <f>J23</f>
        <v>100</v>
      </c>
      <c r="X23" s="1552"/>
      <c r="Y23" s="342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32"/>
      <c r="B25" s="527" t="s">
        <v>538</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20"/>
      <c r="Q25" s="1557" t="str">
        <f t="shared" ref="Q25:Q46" si="11">B25</f>
        <v>临街状况</v>
      </c>
      <c r="R25" s="1558" t="s">
        <v>8</v>
      </c>
      <c r="S25" s="1559">
        <f>F25</f>
        <v>100</v>
      </c>
      <c r="T25" s="1558" t="s">
        <v>8</v>
      </c>
      <c r="U25" s="1559">
        <f>H25</f>
        <v>100</v>
      </c>
      <c r="V25" s="1558" t="s">
        <v>8</v>
      </c>
      <c r="W25" s="1559">
        <f>J25</f>
        <v>100</v>
      </c>
      <c r="X25" s="1552"/>
      <c r="Y25" s="3420"/>
      <c r="Z25" s="1560" t="str">
        <f>Q25</f>
        <v>临街状况</v>
      </c>
      <c r="AA25" s="1561">
        <f t="shared" si="3"/>
        <v>1</v>
      </c>
      <c r="AB25" s="1561">
        <f t="shared" si="4"/>
        <v>1</v>
      </c>
      <c r="AC25" s="1561">
        <f t="shared" si="5"/>
        <v>1</v>
      </c>
    </row>
    <row r="26" spans="1:29" ht="15">
      <c r="A26" s="532"/>
      <c r="B26" s="877" t="s">
        <v>749</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20"/>
      <c r="Q26" s="1557" t="str">
        <f t="shared" si="11"/>
        <v>平面位置/可视性</v>
      </c>
      <c r="R26" s="1558" t="s">
        <v>8</v>
      </c>
      <c r="S26" s="1559">
        <f>F26</f>
        <v>100</v>
      </c>
      <c r="T26" s="1558" t="s">
        <v>8</v>
      </c>
      <c r="U26" s="1559">
        <f>H26</f>
        <v>100</v>
      </c>
      <c r="V26" s="1558" t="s">
        <v>8</v>
      </c>
      <c r="W26" s="1559">
        <f>J26</f>
        <v>100</v>
      </c>
      <c r="X26" s="1552"/>
      <c r="Y26" s="3420"/>
      <c r="Z26" s="1560" t="str">
        <f>Q26</f>
        <v>平面位置/可视性</v>
      </c>
      <c r="AA26" s="1561">
        <f t="shared" si="3"/>
        <v>1</v>
      </c>
      <c r="AB26" s="1561">
        <f t="shared" si="4"/>
        <v>1</v>
      </c>
      <c r="AC26" s="1561">
        <f t="shared" si="5"/>
        <v>1</v>
      </c>
    </row>
    <row r="27" spans="1:29" s="1215" customFormat="1" ht="15">
      <c r="A27" s="536"/>
      <c r="B27" s="871" t="s">
        <v>750</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20"/>
      <c r="Q27" s="1146" t="str">
        <f t="shared" si="11"/>
        <v>人流量</v>
      </c>
      <c r="R27" s="1553" t="s">
        <v>8</v>
      </c>
      <c r="S27" s="1554">
        <f>F27</f>
        <v>100</v>
      </c>
      <c r="T27" s="1553" t="s">
        <v>8</v>
      </c>
      <c r="U27" s="1554">
        <f>H27</f>
        <v>100</v>
      </c>
      <c r="V27" s="1553" t="s">
        <v>8</v>
      </c>
      <c r="W27" s="1554">
        <f>J27</f>
        <v>100</v>
      </c>
      <c r="X27" s="1555"/>
      <c r="Y27" s="3420"/>
      <c r="Z27" s="1145" t="str">
        <f>Q27</f>
        <v>人流量</v>
      </c>
      <c r="AA27" s="1561">
        <f>D27/F27</f>
        <v>1</v>
      </c>
      <c r="AB27" s="1561">
        <f>D27/H27</f>
        <v>1</v>
      </c>
      <c r="AC27" s="1561">
        <f>D27/J27</f>
        <v>1</v>
      </c>
    </row>
    <row r="28" spans="1:29" ht="15">
      <c r="A28" s="532"/>
      <c r="B28" s="527" t="s">
        <v>752</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2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20"/>
      <c r="Q29" s="1557">
        <f t="shared" si="11"/>
        <v>111</v>
      </c>
      <c r="R29" s="1558" t="s">
        <v>8</v>
      </c>
      <c r="S29" s="1559">
        <f t="shared" si="12"/>
        <v>100</v>
      </c>
      <c r="T29" s="1558" t="s">
        <v>8</v>
      </c>
      <c r="U29" s="1559">
        <f t="shared" si="13"/>
        <v>100</v>
      </c>
      <c r="V29" s="1558" t="s">
        <v>8</v>
      </c>
      <c r="W29" s="1559">
        <f t="shared" si="14"/>
        <v>100</v>
      </c>
      <c r="X29" s="1552"/>
      <c r="Y29" s="342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
      <c r="A32" s="2861" t="s">
        <v>2740</v>
      </c>
      <c r="B32" s="172" t="s">
        <v>753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1" t="s">
        <v>541</v>
      </c>
      <c r="Q32" s="1557" t="str">
        <f t="shared" si="11"/>
        <v>商业类型</v>
      </c>
      <c r="R32" s="1558" t="s">
        <v>8</v>
      </c>
      <c r="S32" s="1559">
        <f t="shared" si="12"/>
        <v>100</v>
      </c>
      <c r="T32" s="1558" t="s">
        <v>8</v>
      </c>
      <c r="U32" s="1559">
        <f t="shared" si="13"/>
        <v>100</v>
      </c>
      <c r="V32" s="1558" t="s">
        <v>8</v>
      </c>
      <c r="W32" s="1559">
        <f t="shared" si="14"/>
        <v>100</v>
      </c>
      <c r="X32" s="1552"/>
      <c r="Y32" s="3422" t="s">
        <v>541</v>
      </c>
      <c r="Z32" s="1560" t="str">
        <f t="shared" si="15"/>
        <v>商业类型</v>
      </c>
      <c r="AA32" s="1561">
        <f t="shared" si="3"/>
        <v>1</v>
      </c>
      <c r="AB32" s="1561">
        <f t="shared" si="4"/>
        <v>1</v>
      </c>
      <c r="AC32" s="1561">
        <f t="shared" si="5"/>
        <v>1</v>
      </c>
    </row>
    <row r="33" spans="1:29" s="1334" customFormat="1" ht="15">
      <c r="A33" s="603"/>
      <c r="B33" s="527" t="s">
        <v>717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2"/>
      <c r="Q33" s="1589" t="str">
        <f t="shared" si="11"/>
        <v>项目建筑规模</v>
      </c>
      <c r="R33" s="1562" t="s">
        <v>8</v>
      </c>
      <c r="S33" s="1563" t="e">
        <f t="shared" si="12"/>
        <v>#N/A</v>
      </c>
      <c r="T33" s="1562" t="s">
        <v>8</v>
      </c>
      <c r="U33" s="1563" t="e">
        <f t="shared" si="13"/>
        <v>#N/A</v>
      </c>
      <c r="V33" s="1562" t="s">
        <v>8</v>
      </c>
      <c r="W33" s="1563" t="e">
        <f t="shared" si="14"/>
        <v>#N/A</v>
      </c>
      <c r="X33" s="1564"/>
      <c r="Y33" s="3422"/>
      <c r="Z33" s="1565" t="str">
        <f t="shared" si="15"/>
        <v>项目建筑规模</v>
      </c>
      <c r="AA33" s="1561" t="e">
        <f t="shared" si="3"/>
        <v>#N/A</v>
      </c>
      <c r="AB33" s="1561" t="e">
        <f t="shared" si="4"/>
        <v>#N/A</v>
      </c>
      <c r="AC33" s="1561" t="e">
        <f t="shared" si="5"/>
        <v>#N/A</v>
      </c>
    </row>
    <row r="34" spans="1:29" ht="15">
      <c r="A34" s="594"/>
      <c r="B34" s="527" t="s">
        <v>718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2"/>
      <c r="Q34" s="1557" t="str">
        <f t="shared" si="11"/>
        <v>建筑结构</v>
      </c>
      <c r="R34" s="1558" t="s">
        <v>8</v>
      </c>
      <c r="S34" s="1559">
        <f t="shared" si="12"/>
        <v>100</v>
      </c>
      <c r="T34" s="1558" t="s">
        <v>8</v>
      </c>
      <c r="U34" s="1559">
        <f t="shared" si="13"/>
        <v>100</v>
      </c>
      <c r="V34" s="1558" t="s">
        <v>8</v>
      </c>
      <c r="W34" s="1559">
        <f t="shared" si="14"/>
        <v>100</v>
      </c>
      <c r="X34" s="1552"/>
      <c r="Y34" s="3422"/>
      <c r="Z34" s="1560" t="str">
        <f t="shared" si="15"/>
        <v>建筑结构</v>
      </c>
      <c r="AA34" s="1561">
        <f t="shared" si="3"/>
        <v>1</v>
      </c>
      <c r="AB34" s="1561">
        <f t="shared" si="4"/>
        <v>1</v>
      </c>
      <c r="AC34" s="1561">
        <f t="shared" si="5"/>
        <v>1</v>
      </c>
    </row>
    <row r="35" spans="1:29" ht="15">
      <c r="A35" s="594"/>
      <c r="B35" s="527" t="s">
        <v>754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2"/>
      <c r="Q35" s="1557" t="str">
        <f t="shared" si="11"/>
        <v>公共部分装修</v>
      </c>
      <c r="R35" s="1558" t="s">
        <v>8</v>
      </c>
      <c r="S35" s="1559">
        <f t="shared" si="12"/>
        <v>100</v>
      </c>
      <c r="T35" s="1558" t="s">
        <v>8</v>
      </c>
      <c r="U35" s="1559">
        <f t="shared" si="13"/>
        <v>100</v>
      </c>
      <c r="V35" s="1558" t="s">
        <v>8</v>
      </c>
      <c r="W35" s="1559">
        <f t="shared" si="14"/>
        <v>100</v>
      </c>
      <c r="X35" s="1552"/>
      <c r="Y35" s="3422"/>
      <c r="Z35" s="1560" t="str">
        <f t="shared" si="15"/>
        <v>公共部分装修</v>
      </c>
      <c r="AA35" s="1561">
        <f t="shared" si="3"/>
        <v>1</v>
      </c>
      <c r="AB35" s="1561">
        <f t="shared" si="4"/>
        <v>1</v>
      </c>
      <c r="AC35" s="1561">
        <f t="shared" si="5"/>
        <v>1</v>
      </c>
    </row>
    <row r="36" spans="1:29" ht="15">
      <c r="A36" s="594"/>
      <c r="B36" s="527" t="s">
        <v>755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2"/>
      <c r="Q36" s="1557" t="str">
        <f t="shared" si="11"/>
        <v>成新度</v>
      </c>
      <c r="R36" s="1558" t="s">
        <v>8</v>
      </c>
      <c r="S36" s="1559" t="e">
        <f t="shared" si="12"/>
        <v>#N/A</v>
      </c>
      <c r="T36" s="1558" t="s">
        <v>8</v>
      </c>
      <c r="U36" s="1559" t="e">
        <f t="shared" si="13"/>
        <v>#N/A</v>
      </c>
      <c r="V36" s="1558" t="s">
        <v>8</v>
      </c>
      <c r="W36" s="1559" t="e">
        <f t="shared" si="14"/>
        <v>#N/A</v>
      </c>
      <c r="X36" s="1552"/>
      <c r="Y36" s="3422"/>
      <c r="Z36" s="1560" t="str">
        <f t="shared" si="15"/>
        <v>成新度</v>
      </c>
      <c r="AA36" s="1561" t="e">
        <f t="shared" si="3"/>
        <v>#N/A</v>
      </c>
      <c r="AB36" s="1561" t="e">
        <f t="shared" si="4"/>
        <v>#N/A</v>
      </c>
      <c r="AC36" s="1561" t="e">
        <f t="shared" si="5"/>
        <v>#N/A</v>
      </c>
    </row>
    <row r="37" spans="1:29" s="1215" customFormat="1" ht="15">
      <c r="A37" s="600"/>
      <c r="B37" s="1879" t="s">
        <v>2551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2"/>
      <c r="Q37" s="1146" t="str">
        <f t="shared" si="11"/>
        <v>市政基础设施</v>
      </c>
      <c r="R37" s="1553" t="s">
        <v>8</v>
      </c>
      <c r="S37" s="1554">
        <f t="shared" si="12"/>
        <v>100</v>
      </c>
      <c r="T37" s="1553" t="s">
        <v>8</v>
      </c>
      <c r="U37" s="1554">
        <f t="shared" si="13"/>
        <v>100</v>
      </c>
      <c r="V37" s="1553" t="s">
        <v>8</v>
      </c>
      <c r="W37" s="1554">
        <f t="shared" si="14"/>
        <v>100</v>
      </c>
      <c r="X37" s="1555"/>
      <c r="Y37" s="3422"/>
      <c r="Z37" s="1145" t="str">
        <f t="shared" si="15"/>
        <v>市政基础设施</v>
      </c>
      <c r="AA37" s="1556">
        <f t="shared" si="3"/>
        <v>1</v>
      </c>
      <c r="AB37" s="1556">
        <f t="shared" si="4"/>
        <v>1</v>
      </c>
      <c r="AC37" s="1556">
        <f t="shared" si="5"/>
        <v>1</v>
      </c>
    </row>
    <row r="38" spans="1:29" ht="15">
      <c r="A38" s="594"/>
      <c r="B38" s="527" t="s">
        <v>756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2" t="s">
        <v>757</v>
      </c>
      <c r="Q38" s="1557" t="str">
        <f t="shared" si="11"/>
        <v>业态</v>
      </c>
      <c r="R38" s="1558" t="s">
        <v>8</v>
      </c>
      <c r="S38" s="1559">
        <f t="shared" si="12"/>
        <v>100</v>
      </c>
      <c r="T38" s="1558" t="s">
        <v>8</v>
      </c>
      <c r="U38" s="1559">
        <f t="shared" si="13"/>
        <v>100</v>
      </c>
      <c r="V38" s="1558" t="s">
        <v>8</v>
      </c>
      <c r="W38" s="1559">
        <f t="shared" si="14"/>
        <v>100</v>
      </c>
      <c r="X38" s="1552"/>
      <c r="Y38" s="3422" t="s">
        <v>757</v>
      </c>
      <c r="Z38" s="1560" t="str">
        <f t="shared" si="15"/>
        <v>业态</v>
      </c>
      <c r="AA38" s="1561">
        <f t="shared" si="3"/>
        <v>1</v>
      </c>
      <c r="AB38" s="1561">
        <f t="shared" si="4"/>
        <v>1</v>
      </c>
      <c r="AC38" s="1561">
        <f t="shared" si="5"/>
        <v>1</v>
      </c>
    </row>
    <row r="39" spans="1:29" ht="15">
      <c r="A39" s="594"/>
      <c r="B39" s="527" t="s">
        <v>758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2"/>
      <c r="Q39" s="1557" t="str">
        <f t="shared" si="11"/>
        <v>层高</v>
      </c>
      <c r="R39" s="1558" t="s">
        <v>8</v>
      </c>
      <c r="S39" s="1559">
        <f t="shared" si="12"/>
        <v>100</v>
      </c>
      <c r="T39" s="1558" t="s">
        <v>8</v>
      </c>
      <c r="U39" s="1559">
        <f t="shared" si="13"/>
        <v>100</v>
      </c>
      <c r="V39" s="1558" t="s">
        <v>8</v>
      </c>
      <c r="W39" s="1559">
        <f t="shared" si="14"/>
        <v>100</v>
      </c>
      <c r="X39" s="1552"/>
      <c r="Y39" s="3422"/>
      <c r="Z39" s="1560" t="str">
        <f t="shared" si="15"/>
        <v>层高</v>
      </c>
      <c r="AA39" s="1561">
        <f t="shared" si="3"/>
        <v>1</v>
      </c>
      <c r="AB39" s="1561">
        <f t="shared" si="4"/>
        <v>1</v>
      </c>
      <c r="AC39" s="1561">
        <f t="shared" si="5"/>
        <v>1</v>
      </c>
    </row>
    <row r="40" spans="1:29" ht="15">
      <c r="A40" s="594"/>
      <c r="B40" s="527" t="s">
        <v>759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2"/>
      <c r="Q40" s="1557" t="str">
        <f t="shared" si="11"/>
        <v>单套建筑面积</v>
      </c>
      <c r="R40" s="1558" t="s">
        <v>8</v>
      </c>
      <c r="S40" s="1559">
        <f t="shared" si="12"/>
        <v>100</v>
      </c>
      <c r="T40" s="1558" t="s">
        <v>8</v>
      </c>
      <c r="U40" s="1559">
        <f t="shared" si="13"/>
        <v>100</v>
      </c>
      <c r="V40" s="1558" t="s">
        <v>8</v>
      </c>
      <c r="W40" s="1559">
        <f t="shared" si="14"/>
        <v>100</v>
      </c>
      <c r="X40" s="1552"/>
      <c r="Y40" s="3422"/>
      <c r="Z40" s="1560" t="str">
        <f t="shared" si="15"/>
        <v>单套建筑面积</v>
      </c>
      <c r="AA40" s="1561">
        <f t="shared" si="3"/>
        <v>1</v>
      </c>
      <c r="AB40" s="1561">
        <f t="shared" si="4"/>
        <v>1</v>
      </c>
      <c r="AC40" s="1561">
        <f t="shared" si="5"/>
        <v>1</v>
      </c>
    </row>
    <row r="41" spans="1:29" s="1334" customFormat="1" ht="15">
      <c r="A41" s="603"/>
      <c r="B41" s="904" t="s">
        <v>760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2"/>
      <c r="Q41" s="1589" t="str">
        <f t="shared" si="11"/>
        <v>进深比</v>
      </c>
      <c r="R41" s="1562" t="s">
        <v>8</v>
      </c>
      <c r="S41" s="1563">
        <f t="shared" si="12"/>
        <v>100</v>
      </c>
      <c r="T41" s="1562" t="s">
        <v>8</v>
      </c>
      <c r="U41" s="1563">
        <f t="shared" si="13"/>
        <v>100</v>
      </c>
      <c r="V41" s="1562" t="s">
        <v>8</v>
      </c>
      <c r="W41" s="1563">
        <f t="shared" si="14"/>
        <v>100</v>
      </c>
      <c r="X41" s="1564"/>
      <c r="Y41" s="3422"/>
      <c r="Z41" s="1565" t="str">
        <f t="shared" si="15"/>
        <v>进深比</v>
      </c>
      <c r="AA41" s="1561">
        <f t="shared" si="3"/>
        <v>1</v>
      </c>
      <c r="AB41" s="1561">
        <f t="shared" si="4"/>
        <v>1</v>
      </c>
      <c r="AC41" s="1561">
        <f t="shared" si="5"/>
        <v>1</v>
      </c>
    </row>
    <row r="42" spans="1:29" ht="15">
      <c r="A42" s="594"/>
      <c r="B42" s="527" t="s">
        <v>761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2"/>
      <c r="Q42" s="1557" t="str">
        <f t="shared" si="11"/>
        <v>内部装修</v>
      </c>
      <c r="R42" s="1558" t="s">
        <v>8</v>
      </c>
      <c r="S42" s="1559">
        <f t="shared" si="12"/>
        <v>100</v>
      </c>
      <c r="T42" s="1558" t="s">
        <v>8</v>
      </c>
      <c r="U42" s="1559">
        <f t="shared" si="13"/>
        <v>100</v>
      </c>
      <c r="V42" s="1558" t="s">
        <v>8</v>
      </c>
      <c r="W42" s="1559">
        <f t="shared" si="14"/>
        <v>100</v>
      </c>
      <c r="X42" s="1552"/>
      <c r="Y42" s="3422"/>
      <c r="Z42" s="1560" t="str">
        <f t="shared" si="15"/>
        <v>内部装修</v>
      </c>
      <c r="AA42" s="1561">
        <f t="shared" si="3"/>
        <v>1</v>
      </c>
      <c r="AB42" s="1561">
        <f t="shared" si="4"/>
        <v>1</v>
      </c>
      <c r="AC42" s="1561">
        <f t="shared" si="5"/>
        <v>1</v>
      </c>
    </row>
    <row r="43" spans="1:29" ht="27">
      <c r="A43" s="594"/>
      <c r="B43" s="527" t="s">
        <v>726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2"/>
      <c r="Q43" s="1557" t="str">
        <f t="shared" si="11"/>
        <v>内部装修维护情况</v>
      </c>
      <c r="R43" s="1558" t="s">
        <v>8</v>
      </c>
      <c r="S43" s="1559">
        <f t="shared" si="12"/>
        <v>100</v>
      </c>
      <c r="T43" s="1558" t="s">
        <v>8</v>
      </c>
      <c r="U43" s="1559">
        <f t="shared" si="13"/>
        <v>100</v>
      </c>
      <c r="V43" s="1558" t="s">
        <v>8</v>
      </c>
      <c r="W43" s="1559">
        <f t="shared" si="14"/>
        <v>100</v>
      </c>
      <c r="X43" s="1552"/>
      <c r="Y43" s="3422"/>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2"/>
      <c r="Q44" s="1146">
        <f t="shared" si="11"/>
        <v>111</v>
      </c>
      <c r="R44" s="1553" t="s">
        <v>8</v>
      </c>
      <c r="S44" s="1554">
        <f t="shared" si="12"/>
        <v>100</v>
      </c>
      <c r="T44" s="1553" t="s">
        <v>8</v>
      </c>
      <c r="U44" s="1554">
        <f t="shared" si="13"/>
        <v>100</v>
      </c>
      <c r="V44" s="1553" t="s">
        <v>8</v>
      </c>
      <c r="W44" s="1554">
        <f t="shared" si="14"/>
        <v>100</v>
      </c>
      <c r="X44" s="1555"/>
      <c r="Y44" s="342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2"/>
      <c r="Q45" s="1557">
        <f t="shared" si="11"/>
        <v>111</v>
      </c>
      <c r="R45" s="1558" t="s">
        <v>8</v>
      </c>
      <c r="S45" s="1559">
        <f t="shared" si="12"/>
        <v>100</v>
      </c>
      <c r="T45" s="1558" t="s">
        <v>8</v>
      </c>
      <c r="U45" s="1559">
        <f t="shared" si="13"/>
        <v>100</v>
      </c>
      <c r="V45" s="1558" t="s">
        <v>8</v>
      </c>
      <c r="W45" s="1559">
        <f t="shared" si="14"/>
        <v>100</v>
      </c>
      <c r="X45" s="1552"/>
      <c r="Y45" s="3422"/>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3"/>
      <c r="Q46" s="1557">
        <f t="shared" si="11"/>
        <v>111</v>
      </c>
      <c r="R46" s="1558" t="s">
        <v>8</v>
      </c>
      <c r="S46" s="1559">
        <f t="shared" si="12"/>
        <v>100</v>
      </c>
      <c r="T46" s="1558" t="s">
        <v>8</v>
      </c>
      <c r="U46" s="1559">
        <f t="shared" si="13"/>
        <v>100</v>
      </c>
      <c r="V46" s="1558" t="s">
        <v>8</v>
      </c>
      <c r="W46" s="1559">
        <f t="shared" si="14"/>
        <v>100</v>
      </c>
      <c r="X46" s="1552"/>
      <c r="Y46" s="3503"/>
      <c r="Z46" s="1560">
        <f t="shared" si="15"/>
        <v>111</v>
      </c>
      <c r="AA46" s="1561">
        <f t="shared" si="3"/>
        <v>1</v>
      </c>
      <c r="AB46" s="1561">
        <f t="shared" si="4"/>
        <v>1</v>
      </c>
      <c r="AC46" s="1561">
        <f t="shared" si="5"/>
        <v>1</v>
      </c>
    </row>
    <row r="47" spans="1:29" ht="15">
      <c r="A47" s="607" t="s">
        <v>727</v>
      </c>
      <c r="B47" s="887"/>
      <c r="C47" s="2590" t="s">
        <v>1</v>
      </c>
      <c r="D47" s="2591"/>
      <c r="E47" s="2592"/>
      <c r="F47" s="2593"/>
      <c r="G47" s="2594"/>
      <c r="H47" s="2595"/>
      <c r="I47" s="2592"/>
      <c r="J47" s="2595"/>
      <c r="K47" s="1595"/>
      <c r="L47" s="2128"/>
      <c r="M47" s="2129"/>
      <c r="N47" s="2118"/>
      <c r="O47" s="2129"/>
      <c r="P47" s="3385" t="str">
        <f>A47</f>
        <v>成交单价（元/平方米）</v>
      </c>
      <c r="Q47" s="3385"/>
      <c r="R47" s="3502">
        <f>E47</f>
        <v>0</v>
      </c>
      <c r="S47" s="3502"/>
      <c r="T47" s="3502">
        <f>G47</f>
        <v>0</v>
      </c>
      <c r="U47" s="3502"/>
      <c r="V47" s="3502">
        <f>I47</f>
        <v>0</v>
      </c>
      <c r="W47" s="3502"/>
      <c r="X47" s="1544"/>
      <c r="Y47" s="1566"/>
      <c r="Z47" s="1544"/>
      <c r="AA47" s="1544"/>
      <c r="AB47" s="1544"/>
      <c r="AC47" s="1544"/>
    </row>
    <row r="48" spans="1:29" ht="15.75" thickBot="1">
      <c r="A48" s="615" t="s">
        <v>2745</v>
      </c>
      <c r="B48" s="888"/>
      <c r="C48" s="2596" t="e">
        <f>R49</f>
        <v>#DIV/0!</v>
      </c>
      <c r="D48" s="2597"/>
      <c r="E48" s="2598" t="e">
        <f>R48</f>
        <v>#DIV/0!</v>
      </c>
      <c r="F48" s="2598"/>
      <c r="G48" s="2596" t="e">
        <f>T48</f>
        <v>#DIV/0!</v>
      </c>
      <c r="H48" s="2597"/>
      <c r="I48" s="2598" t="e">
        <f>V48</f>
        <v>#DIV/0!</v>
      </c>
      <c r="J48" s="2597"/>
      <c r="K48" s="1596"/>
      <c r="L48" s="2128"/>
      <c r="M48" s="2129"/>
      <c r="N48" s="2118"/>
      <c r="O48" s="2129"/>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4"/>
      <c r="Y48" s="1544"/>
      <c r="Z48" s="1544"/>
      <c r="AA48" s="1544"/>
      <c r="AB48" s="1544"/>
      <c r="AC48" s="1544"/>
    </row>
    <row r="49" spans="1:29" ht="15.75" thickBot="1">
      <c r="A49" s="621" t="s">
        <v>2922</v>
      </c>
      <c r="B49" s="622"/>
      <c r="C49" s="2599" t="e">
        <f>R49</f>
        <v>#DIV/0!</v>
      </c>
      <c r="D49" s="2599"/>
      <c r="E49" s="2599"/>
      <c r="F49" s="2599"/>
      <c r="G49" s="2599"/>
      <c r="H49" s="2599"/>
      <c r="I49" s="2599"/>
      <c r="J49" s="2599"/>
      <c r="K49" s="1597"/>
      <c r="L49" s="2128"/>
      <c r="M49" s="2129"/>
      <c r="N49" s="2118"/>
      <c r="O49" s="2129"/>
      <c r="P49" s="3382" t="str">
        <f>A49</f>
        <v>估价对象XX用房的比较价格（楼面单价，元/平方米）</v>
      </c>
      <c r="Q49" s="3383"/>
      <c r="R49" s="3501" t="e">
        <f>IF(F1="售价",ROUND(AVERAGE(R48:V48),0),ROUND(AVERAGE(R48:V48),1))</f>
        <v>#DIV/0!</v>
      </c>
      <c r="S49" s="3501"/>
      <c r="T49" s="3501"/>
      <c r="U49" s="3501"/>
      <c r="V49" s="3501"/>
      <c r="W49" s="350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548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549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565</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520</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566</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522</v>
      </c>
      <c r="B61" s="648"/>
      <c r="C61" s="660" t="s">
        <v>567</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568</v>
      </c>
      <c r="B63" s="665" t="s">
        <v>525</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528</v>
      </c>
      <c r="C65" s="674" t="s">
        <v>728</v>
      </c>
      <c r="D65" s="674" t="s">
        <v>729</v>
      </c>
      <c r="E65" s="674" t="s">
        <v>730</v>
      </c>
      <c r="F65" s="674" t="s">
        <v>731</v>
      </c>
      <c r="G65" s="674" t="s">
        <v>732</v>
      </c>
      <c r="H65" s="674" t="s">
        <v>733</v>
      </c>
      <c r="I65" s="674" t="s">
        <v>734</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529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530</v>
      </c>
      <c r="B76" s="665" t="s">
        <v>569</v>
      </c>
      <c r="C76" s="703" t="s">
        <v>570</v>
      </c>
      <c r="D76" s="703" t="s">
        <v>571</v>
      </c>
      <c r="E76" s="703" t="s">
        <v>572</v>
      </c>
      <c r="F76" s="703" t="s">
        <v>573</v>
      </c>
      <c r="G76" s="703" t="s">
        <v>574</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577</v>
      </c>
      <c r="C78" s="708" t="s">
        <v>570</v>
      </c>
      <c r="D78" s="708" t="s">
        <v>571</v>
      </c>
      <c r="E78" s="708" t="s">
        <v>572</v>
      </c>
      <c r="F78" s="708" t="s">
        <v>573</v>
      </c>
      <c r="G78" s="708" t="s">
        <v>574</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2543</v>
      </c>
      <c r="C80" s="708" t="s">
        <v>570</v>
      </c>
      <c r="D80" s="708" t="s">
        <v>571</v>
      </c>
      <c r="E80" s="708" t="s">
        <v>572</v>
      </c>
      <c r="F80" s="708" t="s">
        <v>573</v>
      </c>
      <c r="G80" s="708" t="s">
        <v>574</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2544</v>
      </c>
      <c r="C82" s="2561" t="s">
        <v>2545</v>
      </c>
      <c r="D82" s="2561" t="s">
        <v>2546</v>
      </c>
      <c r="E82" s="2561" t="s">
        <v>2547</v>
      </c>
      <c r="F82" s="2561" t="s">
        <v>2548</v>
      </c>
      <c r="G82" s="2561" t="s">
        <v>2549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735</v>
      </c>
      <c r="C84" s="708" t="s">
        <v>570</v>
      </c>
      <c r="D84" s="708" t="s">
        <v>571</v>
      </c>
      <c r="E84" s="708" t="s">
        <v>572</v>
      </c>
      <c r="F84" s="708" t="s">
        <v>573</v>
      </c>
      <c r="G84" s="708" t="s">
        <v>574</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762</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542</v>
      </c>
      <c r="B100" s="665" t="s">
        <v>763</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739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740</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742</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743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2542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764</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765</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766</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767</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746</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747</v>
      </c>
      <c r="C124" s="708" t="s">
        <v>570</v>
      </c>
      <c r="D124" s="708" t="s">
        <v>571</v>
      </c>
      <c r="E124" s="708" t="s">
        <v>572</v>
      </c>
      <c r="F124" s="708" t="s">
        <v>573</v>
      </c>
      <c r="G124" s="708" t="s">
        <v>574</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503" t="s">
        <v>768</v>
      </c>
      <c r="C1" s="504" t="s">
        <v>711</v>
      </c>
      <c r="D1" s="849"/>
      <c r="E1" s="506"/>
      <c r="F1" s="2761"/>
      <c r="G1" s="1585" t="s">
        <v>712</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458</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510</v>
      </c>
      <c r="B3" s="510" t="e">
        <f>C50</f>
        <v>#DIV/0!</v>
      </c>
      <c r="C3" s="852" t="s">
        <v>713</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512</v>
      </c>
      <c r="B4" s="513"/>
      <c r="C4" s="3391" t="s">
        <v>513</v>
      </c>
      <c r="D4" s="3392"/>
      <c r="E4" s="3425" t="s">
        <v>514</v>
      </c>
      <c r="F4" s="3426"/>
      <c r="G4" s="3391" t="s">
        <v>515</v>
      </c>
      <c r="H4" s="3392"/>
      <c r="I4" s="3391" t="s">
        <v>516</v>
      </c>
      <c r="J4" s="3392"/>
      <c r="K4" s="514" t="s">
        <v>517</v>
      </c>
      <c r="L4" s="2117"/>
      <c r="M4" s="2118"/>
      <c r="N4" s="2118"/>
      <c r="O4" s="2118"/>
      <c r="P4" s="3505" t="s">
        <v>518</v>
      </c>
      <c r="Q4" s="3394"/>
      <c r="R4" s="3399" t="s">
        <v>514</v>
      </c>
      <c r="S4" s="3400"/>
      <c r="T4" s="3399" t="s">
        <v>515</v>
      </c>
      <c r="U4" s="3400"/>
      <c r="V4" s="3386" t="s">
        <v>516</v>
      </c>
      <c r="W4" s="3386"/>
      <c r="X4" s="1552"/>
      <c r="Y4" s="3399" t="s">
        <v>518</v>
      </c>
      <c r="Z4" s="3400"/>
      <c r="AA4" s="3388" t="s">
        <v>514</v>
      </c>
      <c r="AB4" s="3388" t="s">
        <v>515</v>
      </c>
      <c r="AC4" s="3388" t="s">
        <v>516</v>
      </c>
    </row>
    <row r="5" spans="1:29" ht="15">
      <c r="A5" s="515"/>
      <c r="B5" s="516"/>
      <c r="C5" s="3407" t="s">
        <v>2916</v>
      </c>
      <c r="D5" s="3408"/>
      <c r="E5" s="3427" t="s">
        <v>2917</v>
      </c>
      <c r="F5" s="3428"/>
      <c r="G5" s="3407" t="s">
        <v>2918</v>
      </c>
      <c r="H5" s="3408"/>
      <c r="I5" s="3407" t="s">
        <v>2919</v>
      </c>
      <c r="J5" s="3408"/>
      <c r="K5" s="514"/>
      <c r="L5" s="2117"/>
      <c r="M5" s="2118"/>
      <c r="N5" s="2118"/>
      <c r="O5" s="2118"/>
      <c r="P5" s="3506"/>
      <c r="Q5" s="3396"/>
      <c r="R5" s="3401"/>
      <c r="S5" s="3402"/>
      <c r="T5" s="3401"/>
      <c r="U5" s="3402"/>
      <c r="V5" s="3386"/>
      <c r="W5" s="3386"/>
      <c r="X5" s="1552"/>
      <c r="Y5" s="3401"/>
      <c r="Z5" s="3402"/>
      <c r="AA5" s="3389"/>
      <c r="AB5" s="3389"/>
      <c r="AC5" s="3389"/>
    </row>
    <row r="6" spans="1:29" ht="15.75" thickBot="1">
      <c r="A6" s="517"/>
      <c r="B6" s="518"/>
      <c r="C6" s="3405" t="s">
        <v>2920</v>
      </c>
      <c r="D6" s="3406"/>
      <c r="E6" s="3423" t="s">
        <v>2920</v>
      </c>
      <c r="F6" s="3424"/>
      <c r="G6" s="3405" t="s">
        <v>2920</v>
      </c>
      <c r="H6" s="3406"/>
      <c r="I6" s="3405" t="s">
        <v>2920</v>
      </c>
      <c r="J6" s="3406"/>
      <c r="K6" s="514" t="s">
        <v>519</v>
      </c>
      <c r="L6" s="2117"/>
      <c r="M6" s="2118"/>
      <c r="N6" s="2118"/>
      <c r="O6" s="2118"/>
      <c r="P6" s="3507"/>
      <c r="Q6" s="3398"/>
      <c r="R6" s="3401"/>
      <c r="S6" s="3402"/>
      <c r="T6" s="3403"/>
      <c r="U6" s="3404"/>
      <c r="V6" s="3386"/>
      <c r="W6" s="3386"/>
      <c r="X6" s="1552"/>
      <c r="Y6" s="3403"/>
      <c r="Z6" s="3404"/>
      <c r="AA6" s="3390"/>
      <c r="AB6" s="3390"/>
      <c r="AC6" s="3390"/>
    </row>
    <row r="7" spans="1:29" s="1215" customFormat="1" ht="15.75" thickBot="1">
      <c r="A7" s="2866"/>
      <c r="B7" s="2873" t="s">
        <v>520</v>
      </c>
      <c r="C7" s="519">
        <f>'数据-取费表'!B2</f>
        <v>43998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8" t="s">
        <v>521</v>
      </c>
      <c r="Q7" s="3418"/>
      <c r="R7" s="1553" t="s">
        <v>8</v>
      </c>
      <c r="S7" s="1554">
        <f t="shared" ref="S7:S15" si="0">F7</f>
        <v>0</v>
      </c>
      <c r="T7" s="1553" t="s">
        <v>8</v>
      </c>
      <c r="U7" s="1554">
        <f t="shared" ref="U7:U15" si="1">H7</f>
        <v>0</v>
      </c>
      <c r="V7" s="1553" t="s">
        <v>8</v>
      </c>
      <c r="W7" s="1554">
        <f t="shared" ref="W7:W15"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8" t="s">
        <v>524</v>
      </c>
      <c r="Q8" s="3417"/>
      <c r="R8" s="1553" t="s">
        <v>8</v>
      </c>
      <c r="S8" s="1554">
        <f t="shared" si="0"/>
        <v>0</v>
      </c>
      <c r="T8" s="1553" t="s">
        <v>8</v>
      </c>
      <c r="U8" s="1554">
        <f t="shared" si="1"/>
        <v>0</v>
      </c>
      <c r="V8" s="1553" t="s">
        <v>8</v>
      </c>
      <c r="W8" s="1554">
        <f t="shared" si="2"/>
        <v>0</v>
      </c>
      <c r="X8" s="1555"/>
      <c r="Y8" s="3416" t="s">
        <v>524</v>
      </c>
      <c r="Z8" s="3417"/>
      <c r="AA8" s="1556" t="e">
        <f t="shared" ref="AA8:AA47" si="3">D8/F8</f>
        <v>#DIV/0!</v>
      </c>
      <c r="AB8" s="1556" t="e">
        <f t="shared" ref="AB8:AB47" si="4">D8/H8</f>
        <v>#DIV/0!</v>
      </c>
      <c r="AC8" s="1556" t="e">
        <f t="shared" ref="AC8:AC47" si="5">D8/J8</f>
        <v>#DIV/0!</v>
      </c>
    </row>
    <row r="9" spans="1:29" s="1215" customFormat="1" ht="15">
      <c r="A9" s="2868"/>
      <c r="B9" s="2875" t="s">
        <v>2741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5" t="s">
        <v>526</v>
      </c>
      <c r="Q9" s="1146" t="str">
        <f t="shared" ref="Q9:Q15" si="6">B9</f>
        <v>用途</v>
      </c>
      <c r="R9" s="1553" t="s">
        <v>8</v>
      </c>
      <c r="S9" s="1554">
        <f t="shared" si="0"/>
        <v>100</v>
      </c>
      <c r="T9" s="1553" t="s">
        <v>8</v>
      </c>
      <c r="U9" s="1554">
        <f t="shared" si="1"/>
        <v>100</v>
      </c>
      <c r="V9" s="1553" t="s">
        <v>8</v>
      </c>
      <c r="W9" s="1554">
        <f t="shared" si="2"/>
        <v>100</v>
      </c>
      <c r="X9" s="1555"/>
      <c r="Y9" s="3334" t="s">
        <v>527</v>
      </c>
      <c r="Z9" s="1145" t="str">
        <f t="shared" ref="Z9:Z15" si="7">Q9</f>
        <v>用途</v>
      </c>
      <c r="AA9" s="1556">
        <f t="shared" si="3"/>
        <v>1</v>
      </c>
      <c r="AB9" s="1556">
        <f t="shared" si="4"/>
        <v>1</v>
      </c>
      <c r="AC9" s="1556">
        <f t="shared" si="5"/>
        <v>1</v>
      </c>
    </row>
    <row r="10" spans="1:29" s="1333" customFormat="1" ht="27">
      <c r="A10" s="2869"/>
      <c r="B10" s="2874" t="s">
        <v>2742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4" t="s">
        <v>2743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5"/>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5"/>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5"/>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5"/>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71.25">
      <c r="A15" s="2864" t="s">
        <v>2739</v>
      </c>
      <c r="B15" s="547" t="s">
        <v>533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9" t="s">
        <v>531</v>
      </c>
      <c r="Q15" s="1557" t="str">
        <f t="shared" si="6"/>
        <v>办公集聚程度</v>
      </c>
      <c r="R15" s="1558" t="s">
        <v>8</v>
      </c>
      <c r="S15" s="1559">
        <f t="shared" si="0"/>
        <v>100</v>
      </c>
      <c r="T15" s="1558" t="s">
        <v>8</v>
      </c>
      <c r="U15" s="1559">
        <f t="shared" si="1"/>
        <v>100</v>
      </c>
      <c r="V15" s="1558" t="s">
        <v>8</v>
      </c>
      <c r="W15" s="1559">
        <f t="shared" si="2"/>
        <v>100</v>
      </c>
      <c r="X15" s="1552"/>
      <c r="Y15" s="3419" t="s">
        <v>531</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20"/>
      <c r="Q16" s="1557"/>
      <c r="R16" s="1558"/>
      <c r="S16" s="1559"/>
      <c r="T16" s="1558"/>
      <c r="U16" s="1559"/>
      <c r="V16" s="1558"/>
      <c r="W16" s="1559"/>
      <c r="X16" s="1552"/>
      <c r="Y16" s="3420"/>
      <c r="Z16" s="1560"/>
      <c r="AA16" s="1561">
        <v>1</v>
      </c>
      <c r="AB16" s="1561">
        <v>1</v>
      </c>
      <c r="AC16" s="1561">
        <v>1</v>
      </c>
    </row>
    <row r="17" spans="1:29" ht="85.5">
      <c r="A17" s="532"/>
      <c r="B17" s="560" t="s">
        <v>287</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20"/>
      <c r="Q18" s="1557"/>
      <c r="R18" s="1558"/>
      <c r="S18" s="1559"/>
      <c r="T18" s="1558"/>
      <c r="U18" s="1559"/>
      <c r="V18" s="1558"/>
      <c r="W18" s="1559"/>
      <c r="X18" s="1552"/>
      <c r="Y18" s="3420"/>
      <c r="Z18" s="1560"/>
      <c r="AA18" s="1561">
        <v>1</v>
      </c>
      <c r="AB18" s="1561">
        <v>1</v>
      </c>
      <c r="AC18" s="1561">
        <v>1</v>
      </c>
    </row>
    <row r="19" spans="1:29" ht="42.75">
      <c r="A19" s="532"/>
      <c r="B19" s="2566" t="s">
        <v>2532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20"/>
      <c r="Q20" s="1557"/>
      <c r="R20" s="1558"/>
      <c r="S20" s="1559"/>
      <c r="T20" s="1558"/>
      <c r="U20" s="1559"/>
      <c r="V20" s="1558"/>
      <c r="W20" s="1559"/>
      <c r="X20" s="1552"/>
      <c r="Y20" s="3420"/>
      <c r="Z20" s="1560"/>
      <c r="AA20" s="1561">
        <v>1</v>
      </c>
      <c r="AB20" s="1561">
        <v>1</v>
      </c>
      <c r="AC20" s="1561">
        <v>1</v>
      </c>
    </row>
    <row r="21" spans="1:29" ht="28.5">
      <c r="A21" s="532"/>
      <c r="B21" s="2554" t="s">
        <v>2544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20"/>
      <c r="Q22" s="2542"/>
      <c r="R22" s="1558"/>
      <c r="S22" s="1559"/>
      <c r="T22" s="1558"/>
      <c r="U22" s="1559"/>
      <c r="V22" s="1558"/>
      <c r="W22" s="1559"/>
      <c r="X22" s="2544"/>
      <c r="Y22" s="3420"/>
      <c r="Z22" s="2543"/>
      <c r="AA22" s="1561">
        <v>1</v>
      </c>
      <c r="AB22" s="1561">
        <v>1</v>
      </c>
      <c r="AC22" s="1561">
        <v>1</v>
      </c>
    </row>
    <row r="23" spans="1:29" ht="57">
      <c r="A23" s="532"/>
      <c r="B23" s="560" t="s">
        <v>769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20"/>
      <c r="Q24" s="1557"/>
      <c r="R24" s="1558"/>
      <c r="S24" s="1559"/>
      <c r="T24" s="1558"/>
      <c r="U24" s="1559"/>
      <c r="V24" s="1558"/>
      <c r="W24" s="1559"/>
      <c r="X24" s="1552"/>
      <c r="Y24" s="3420"/>
      <c r="Z24" s="1560"/>
      <c r="AA24" s="1561">
        <v>1</v>
      </c>
      <c r="AB24" s="1561">
        <v>1</v>
      </c>
      <c r="AC24" s="1561">
        <v>1</v>
      </c>
    </row>
    <row r="25" spans="1:29" ht="27">
      <c r="A25" s="515"/>
      <c r="B25" s="560" t="s">
        <v>539</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20"/>
      <c r="Q25" s="1557" t="str">
        <f>B25</f>
        <v>毗邻道路的类型与等级</v>
      </c>
      <c r="R25" s="1558" t="s">
        <v>8</v>
      </c>
      <c r="S25" s="1559">
        <f>F25</f>
        <v>100</v>
      </c>
      <c r="T25" s="1558" t="s">
        <v>8</v>
      </c>
      <c r="U25" s="1559">
        <f>H25</f>
        <v>100</v>
      </c>
      <c r="V25" s="1558" t="s">
        <v>8</v>
      </c>
      <c r="W25" s="1559">
        <f>J25</f>
        <v>100</v>
      </c>
      <c r="X25" s="1552"/>
      <c r="Y25" s="342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20"/>
      <c r="Q26" s="1557"/>
      <c r="R26" s="1558"/>
      <c r="S26" s="1559"/>
      <c r="T26" s="1558"/>
      <c r="U26" s="1559"/>
      <c r="V26" s="1558"/>
      <c r="W26" s="1559"/>
      <c r="X26" s="1552"/>
      <c r="Y26" s="3420"/>
      <c r="Z26" s="1560"/>
      <c r="AA26" s="1561">
        <v>1</v>
      </c>
      <c r="AB26" s="1561">
        <v>1</v>
      </c>
      <c r="AC26" s="1561">
        <v>1</v>
      </c>
    </row>
    <row r="27" spans="1:29" ht="15">
      <c r="A27" s="532"/>
      <c r="B27" s="566" t="s">
        <v>752</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20"/>
      <c r="Q27" s="1557" t="str">
        <f t="shared" ref="Q27:Q47" si="11">B27</f>
        <v>楼层</v>
      </c>
      <c r="R27" s="1558" t="s">
        <v>8</v>
      </c>
      <c r="S27" s="1559">
        <f>F27</f>
        <v>100</v>
      </c>
      <c r="T27" s="1558" t="s">
        <v>8</v>
      </c>
      <c r="U27" s="1559">
        <f>H27</f>
        <v>100</v>
      </c>
      <c r="V27" s="1558" t="s">
        <v>8</v>
      </c>
      <c r="W27" s="1559">
        <f>J27</f>
        <v>100</v>
      </c>
      <c r="X27" s="1552"/>
      <c r="Y27" s="3420"/>
      <c r="Z27" s="1560" t="str">
        <f>Q27</f>
        <v>楼层</v>
      </c>
      <c r="AA27" s="1561">
        <f t="shared" si="3"/>
        <v>1</v>
      </c>
      <c r="AB27" s="1561">
        <f t="shared" si="4"/>
        <v>1</v>
      </c>
      <c r="AC27" s="1561">
        <f t="shared" si="5"/>
        <v>1</v>
      </c>
    </row>
    <row r="28" spans="1:29" s="1215" customFormat="1" ht="15">
      <c r="A28" s="536"/>
      <c r="B28" s="560" t="s">
        <v>770</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20"/>
      <c r="Q28" s="1146" t="str">
        <f t="shared" si="11"/>
        <v>朝向</v>
      </c>
      <c r="R28" s="1553" t="s">
        <v>8</v>
      </c>
      <c r="S28" s="1554">
        <f>F28</f>
        <v>100</v>
      </c>
      <c r="T28" s="1553" t="s">
        <v>8</v>
      </c>
      <c r="U28" s="1554">
        <f>H28</f>
        <v>100</v>
      </c>
      <c r="V28" s="1553" t="s">
        <v>8</v>
      </c>
      <c r="W28" s="1554">
        <f>J28</f>
        <v>100</v>
      </c>
      <c r="X28" s="1555"/>
      <c r="Y28" s="3420"/>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20"/>
      <c r="Q29" s="1557">
        <f t="shared" si="11"/>
        <v>111</v>
      </c>
      <c r="R29" s="1558" t="s">
        <v>8</v>
      </c>
      <c r="S29" s="1559">
        <f t="shared" ref="S29:S47" si="12">F29</f>
        <v>100</v>
      </c>
      <c r="T29" s="1558" t="s">
        <v>8</v>
      </c>
      <c r="U29" s="1559">
        <f t="shared" ref="U29:U47" si="13">H29</f>
        <v>100</v>
      </c>
      <c r="V29" s="1558" t="s">
        <v>8</v>
      </c>
      <c r="W29" s="1559">
        <f t="shared" ref="W29:W47" si="14">J29</f>
        <v>100</v>
      </c>
      <c r="X29" s="1552"/>
      <c r="Y29" s="3420"/>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20"/>
      <c r="Q30" s="1557">
        <f t="shared" si="11"/>
        <v>111</v>
      </c>
      <c r="R30" s="1558" t="s">
        <v>8</v>
      </c>
      <c r="S30" s="1559">
        <f t="shared" si="12"/>
        <v>100</v>
      </c>
      <c r="T30" s="1558" t="s">
        <v>8</v>
      </c>
      <c r="U30" s="1559">
        <f t="shared" si="13"/>
        <v>100</v>
      </c>
      <c r="V30" s="1558" t="s">
        <v>8</v>
      </c>
      <c r="W30" s="1559">
        <f t="shared" si="14"/>
        <v>100</v>
      </c>
      <c r="X30" s="1552"/>
      <c r="Y30" s="3420"/>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20"/>
      <c r="Q31" s="1557">
        <f t="shared" si="11"/>
        <v>111</v>
      </c>
      <c r="R31" s="1558" t="s">
        <v>8</v>
      </c>
      <c r="S31" s="1559">
        <f t="shared" si="12"/>
        <v>100</v>
      </c>
      <c r="T31" s="1558" t="s">
        <v>8</v>
      </c>
      <c r="U31" s="1559">
        <f t="shared" si="13"/>
        <v>100</v>
      </c>
      <c r="V31" s="1558" t="s">
        <v>8</v>
      </c>
      <c r="W31" s="1559">
        <f t="shared" si="14"/>
        <v>100</v>
      </c>
      <c r="X31" s="1552"/>
      <c r="Y31" s="3420"/>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20"/>
      <c r="Q32" s="1557">
        <f t="shared" si="11"/>
        <v>111</v>
      </c>
      <c r="R32" s="1558" t="s">
        <v>8</v>
      </c>
      <c r="S32" s="1559">
        <f t="shared" si="12"/>
        <v>100</v>
      </c>
      <c r="T32" s="1558" t="s">
        <v>8</v>
      </c>
      <c r="U32" s="1559">
        <f t="shared" si="13"/>
        <v>100</v>
      </c>
      <c r="V32" s="1558" t="s">
        <v>8</v>
      </c>
      <c r="W32" s="1559">
        <f t="shared" si="14"/>
        <v>100</v>
      </c>
      <c r="X32" s="1552"/>
      <c r="Y32" s="3420"/>
      <c r="Z32" s="1560">
        <f t="shared" si="15"/>
        <v>111</v>
      </c>
      <c r="AA32" s="1561">
        <f t="shared" si="3"/>
        <v>1</v>
      </c>
      <c r="AB32" s="1561">
        <f t="shared" si="4"/>
        <v>1</v>
      </c>
      <c r="AC32" s="1561">
        <f t="shared" si="5"/>
        <v>1</v>
      </c>
    </row>
    <row r="33" spans="1:29" ht="15">
      <c r="A33" s="2861" t="s">
        <v>2740</v>
      </c>
      <c r="B33" s="172" t="s">
        <v>771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1" t="s">
        <v>541</v>
      </c>
      <c r="Q33" s="1557" t="str">
        <f t="shared" si="11"/>
        <v>建筑类型</v>
      </c>
      <c r="R33" s="1558" t="s">
        <v>8</v>
      </c>
      <c r="S33" s="1559">
        <f t="shared" si="12"/>
        <v>100</v>
      </c>
      <c r="T33" s="1558" t="s">
        <v>8</v>
      </c>
      <c r="U33" s="1559">
        <f t="shared" si="13"/>
        <v>100</v>
      </c>
      <c r="V33" s="1558" t="s">
        <v>8</v>
      </c>
      <c r="W33" s="1559">
        <f t="shared" si="14"/>
        <v>100</v>
      </c>
      <c r="X33" s="1552"/>
      <c r="Y33" s="3422" t="s">
        <v>541</v>
      </c>
      <c r="Z33" s="1560" t="str">
        <f t="shared" si="15"/>
        <v>建筑类型</v>
      </c>
      <c r="AA33" s="1561">
        <f t="shared" si="3"/>
        <v>1</v>
      </c>
      <c r="AB33" s="1561">
        <f t="shared" si="4"/>
        <v>1</v>
      </c>
      <c r="AC33" s="1561">
        <f t="shared" si="5"/>
        <v>1</v>
      </c>
    </row>
    <row r="34" spans="1:29" s="1334" customFormat="1" ht="15">
      <c r="A34" s="603"/>
      <c r="B34" s="527" t="s">
        <v>717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2"/>
      <c r="Q34" s="1589" t="str">
        <f t="shared" si="11"/>
        <v>项目建筑规模</v>
      </c>
      <c r="R34" s="1562" t="s">
        <v>8</v>
      </c>
      <c r="S34" s="1563" t="e">
        <f t="shared" si="12"/>
        <v>#N/A</v>
      </c>
      <c r="T34" s="1562" t="s">
        <v>8</v>
      </c>
      <c r="U34" s="1563" t="e">
        <f t="shared" si="13"/>
        <v>#N/A</v>
      </c>
      <c r="V34" s="1562" t="s">
        <v>8</v>
      </c>
      <c r="W34" s="1563" t="e">
        <f t="shared" si="14"/>
        <v>#N/A</v>
      </c>
      <c r="X34" s="1564"/>
      <c r="Y34" s="3422"/>
      <c r="Z34" s="1565" t="str">
        <f t="shared" si="15"/>
        <v>项目建筑规模</v>
      </c>
      <c r="AA34" s="1561" t="e">
        <f t="shared" si="3"/>
        <v>#N/A</v>
      </c>
      <c r="AB34" s="1561" t="e">
        <f t="shared" si="4"/>
        <v>#N/A</v>
      </c>
      <c r="AC34" s="1561" t="e">
        <f t="shared" si="5"/>
        <v>#N/A</v>
      </c>
    </row>
    <row r="35" spans="1:29" ht="15">
      <c r="A35" s="594"/>
      <c r="B35" s="527" t="s">
        <v>718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2"/>
      <c r="Q35" s="1557" t="str">
        <f t="shared" si="11"/>
        <v>建筑结构</v>
      </c>
      <c r="R35" s="1558" t="s">
        <v>8</v>
      </c>
      <c r="S35" s="1559">
        <f t="shared" si="12"/>
        <v>100</v>
      </c>
      <c r="T35" s="1558" t="s">
        <v>8</v>
      </c>
      <c r="U35" s="1559">
        <f t="shared" si="13"/>
        <v>100</v>
      </c>
      <c r="V35" s="1558" t="s">
        <v>8</v>
      </c>
      <c r="W35" s="1559">
        <f t="shared" si="14"/>
        <v>100</v>
      </c>
      <c r="X35" s="1552"/>
      <c r="Y35" s="3422"/>
      <c r="Z35" s="1560" t="str">
        <f t="shared" si="15"/>
        <v>建筑结构</v>
      </c>
      <c r="AA35" s="1561">
        <f t="shared" si="3"/>
        <v>1</v>
      </c>
      <c r="AB35" s="1561">
        <f t="shared" si="4"/>
        <v>1</v>
      </c>
      <c r="AC35" s="1561">
        <f t="shared" si="5"/>
        <v>1</v>
      </c>
    </row>
    <row r="36" spans="1:29" ht="15">
      <c r="A36" s="594"/>
      <c r="B36" s="527" t="s">
        <v>754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2"/>
      <c r="Q36" s="1557" t="str">
        <f t="shared" si="11"/>
        <v>公共部分装修</v>
      </c>
      <c r="R36" s="1558" t="s">
        <v>8</v>
      </c>
      <c r="S36" s="1559">
        <f t="shared" si="12"/>
        <v>100</v>
      </c>
      <c r="T36" s="1558" t="s">
        <v>8</v>
      </c>
      <c r="U36" s="1559">
        <f t="shared" si="13"/>
        <v>100</v>
      </c>
      <c r="V36" s="1558" t="s">
        <v>8</v>
      </c>
      <c r="W36" s="1559">
        <f t="shared" si="14"/>
        <v>100</v>
      </c>
      <c r="X36" s="1552"/>
      <c r="Y36" s="3422"/>
      <c r="Z36" s="1560" t="str">
        <f t="shared" si="15"/>
        <v>公共部分装修</v>
      </c>
      <c r="AA36" s="1561">
        <f t="shared" si="3"/>
        <v>1</v>
      </c>
      <c r="AB36" s="1561">
        <f t="shared" si="4"/>
        <v>1</v>
      </c>
      <c r="AC36" s="1561">
        <f t="shared" si="5"/>
        <v>1</v>
      </c>
    </row>
    <row r="37" spans="1:29" ht="15">
      <c r="A37" s="594"/>
      <c r="B37" s="527" t="s">
        <v>755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2"/>
      <c r="Q37" s="1557" t="str">
        <f t="shared" si="11"/>
        <v>成新度</v>
      </c>
      <c r="R37" s="1558" t="s">
        <v>8</v>
      </c>
      <c r="S37" s="1559" t="e">
        <f t="shared" si="12"/>
        <v>#N/A</v>
      </c>
      <c r="T37" s="1558" t="s">
        <v>8</v>
      </c>
      <c r="U37" s="1559" t="e">
        <f t="shared" si="13"/>
        <v>#N/A</v>
      </c>
      <c r="V37" s="1558" t="s">
        <v>8</v>
      </c>
      <c r="W37" s="1559" t="e">
        <f t="shared" si="14"/>
        <v>#N/A</v>
      </c>
      <c r="X37" s="1552"/>
      <c r="Y37" s="3422"/>
      <c r="Z37" s="1560" t="str">
        <f t="shared" si="15"/>
        <v>成新度</v>
      </c>
      <c r="AA37" s="1561" t="e">
        <f t="shared" si="3"/>
        <v>#N/A</v>
      </c>
      <c r="AB37" s="1561" t="e">
        <f t="shared" si="4"/>
        <v>#N/A</v>
      </c>
      <c r="AC37" s="1561" t="e">
        <f t="shared" si="5"/>
        <v>#N/A</v>
      </c>
    </row>
    <row r="38" spans="1:29" s="1215" customFormat="1" ht="15">
      <c r="A38" s="600"/>
      <c r="B38" s="527" t="s">
        <v>772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2"/>
      <c r="Q38" s="1146" t="str">
        <f t="shared" si="11"/>
        <v>写字楼等级</v>
      </c>
      <c r="R38" s="1553" t="s">
        <v>8</v>
      </c>
      <c r="S38" s="1554">
        <f t="shared" si="12"/>
        <v>100</v>
      </c>
      <c r="T38" s="1553" t="s">
        <v>8</v>
      </c>
      <c r="U38" s="1554">
        <f t="shared" si="13"/>
        <v>100</v>
      </c>
      <c r="V38" s="1553" t="s">
        <v>8</v>
      </c>
      <c r="W38" s="1554">
        <f t="shared" si="14"/>
        <v>100</v>
      </c>
      <c r="X38" s="1555"/>
      <c r="Y38" s="3422"/>
      <c r="Z38" s="1145" t="str">
        <f t="shared" si="15"/>
        <v>写字楼等级</v>
      </c>
      <c r="AA38" s="1556">
        <f t="shared" si="3"/>
        <v>1</v>
      </c>
      <c r="AB38" s="1556">
        <f t="shared" si="4"/>
        <v>1</v>
      </c>
      <c r="AC38" s="1556">
        <f t="shared" si="5"/>
        <v>1</v>
      </c>
    </row>
    <row r="39" spans="1:29" ht="15">
      <c r="A39" s="594"/>
      <c r="B39" s="527" t="s">
        <v>773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2" t="s">
        <v>541</v>
      </c>
      <c r="Q39" s="1557" t="str">
        <f t="shared" si="11"/>
        <v>物业管理</v>
      </c>
      <c r="R39" s="1558" t="s">
        <v>8</v>
      </c>
      <c r="S39" s="1559">
        <f t="shared" si="12"/>
        <v>100</v>
      </c>
      <c r="T39" s="1558" t="s">
        <v>8</v>
      </c>
      <c r="U39" s="1559">
        <f t="shared" si="13"/>
        <v>100</v>
      </c>
      <c r="V39" s="1558" t="s">
        <v>8</v>
      </c>
      <c r="W39" s="1559">
        <f t="shared" si="14"/>
        <v>100</v>
      </c>
      <c r="X39" s="1552"/>
      <c r="Y39" s="3422" t="s">
        <v>541</v>
      </c>
      <c r="Z39" s="1560" t="str">
        <f t="shared" si="15"/>
        <v>物业管理</v>
      </c>
      <c r="AA39" s="1561">
        <f t="shared" si="3"/>
        <v>1</v>
      </c>
      <c r="AB39" s="1561">
        <f t="shared" si="4"/>
        <v>1</v>
      </c>
      <c r="AC39" s="1561">
        <f t="shared" si="5"/>
        <v>1</v>
      </c>
    </row>
    <row r="40" spans="1:29" ht="15">
      <c r="A40" s="594"/>
      <c r="B40" s="1879" t="s">
        <v>2551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2"/>
      <c r="Q40" s="1557" t="str">
        <f t="shared" si="11"/>
        <v>市政基础设施</v>
      </c>
      <c r="R40" s="1558" t="s">
        <v>8</v>
      </c>
      <c r="S40" s="1559">
        <f t="shared" si="12"/>
        <v>100</v>
      </c>
      <c r="T40" s="1558" t="s">
        <v>8</v>
      </c>
      <c r="U40" s="1559">
        <f t="shared" si="13"/>
        <v>100</v>
      </c>
      <c r="V40" s="1558" t="s">
        <v>8</v>
      </c>
      <c r="W40" s="1559">
        <f t="shared" si="14"/>
        <v>100</v>
      </c>
      <c r="X40" s="1552"/>
      <c r="Y40" s="3422"/>
      <c r="Z40" s="1560" t="str">
        <f t="shared" si="15"/>
        <v>市政基础设施</v>
      </c>
      <c r="AA40" s="1561">
        <f t="shared" si="3"/>
        <v>1</v>
      </c>
      <c r="AB40" s="1561">
        <f t="shared" si="4"/>
        <v>1</v>
      </c>
      <c r="AC40" s="1561">
        <f t="shared" si="5"/>
        <v>1</v>
      </c>
    </row>
    <row r="41" spans="1:29" ht="15">
      <c r="A41" s="594"/>
      <c r="B41" s="527" t="s">
        <v>758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2"/>
      <c r="Q41" s="1557" t="str">
        <f t="shared" si="11"/>
        <v>层高</v>
      </c>
      <c r="R41" s="1558" t="s">
        <v>8</v>
      </c>
      <c r="S41" s="1559">
        <f t="shared" si="12"/>
        <v>100</v>
      </c>
      <c r="T41" s="1558" t="s">
        <v>8</v>
      </c>
      <c r="U41" s="1559">
        <f t="shared" si="13"/>
        <v>100</v>
      </c>
      <c r="V41" s="1558" t="s">
        <v>8</v>
      </c>
      <c r="W41" s="1559">
        <f t="shared" si="14"/>
        <v>100</v>
      </c>
      <c r="X41" s="1552"/>
      <c r="Y41" s="3422"/>
      <c r="Z41" s="1560" t="str">
        <f t="shared" si="15"/>
        <v>层高</v>
      </c>
      <c r="AA41" s="1561">
        <f t="shared" si="3"/>
        <v>1</v>
      </c>
      <c r="AB41" s="1561">
        <f t="shared" si="4"/>
        <v>1</v>
      </c>
      <c r="AC41" s="1561">
        <f t="shared" si="5"/>
        <v>1</v>
      </c>
    </row>
    <row r="42" spans="1:29" s="1334" customFormat="1" ht="15">
      <c r="A42" s="603"/>
      <c r="B42" s="904" t="s">
        <v>774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2"/>
      <c r="Q42" s="1589" t="str">
        <f t="shared" si="11"/>
        <v>单套建筑面积</v>
      </c>
      <c r="R42" s="1562" t="s">
        <v>8</v>
      </c>
      <c r="S42" s="1563">
        <f t="shared" si="12"/>
        <v>100</v>
      </c>
      <c r="T42" s="1562" t="s">
        <v>8</v>
      </c>
      <c r="U42" s="1563">
        <f t="shared" si="13"/>
        <v>100</v>
      </c>
      <c r="V42" s="1562" t="s">
        <v>8</v>
      </c>
      <c r="W42" s="1563">
        <f t="shared" si="14"/>
        <v>100</v>
      </c>
      <c r="X42" s="1564"/>
      <c r="Y42" s="3422"/>
      <c r="Z42" s="1565" t="str">
        <f t="shared" si="15"/>
        <v>单套建筑面积</v>
      </c>
      <c r="AA42" s="1561">
        <f t="shared" si="3"/>
        <v>1</v>
      </c>
      <c r="AB42" s="1561">
        <f t="shared" si="4"/>
        <v>1</v>
      </c>
      <c r="AC42" s="1561">
        <f t="shared" si="5"/>
        <v>1</v>
      </c>
    </row>
    <row r="43" spans="1:29" ht="15">
      <c r="A43" s="594"/>
      <c r="B43" s="527" t="s">
        <v>761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2"/>
      <c r="Q43" s="1557" t="str">
        <f t="shared" si="11"/>
        <v>内部装修</v>
      </c>
      <c r="R43" s="1558" t="s">
        <v>8</v>
      </c>
      <c r="S43" s="1559">
        <f t="shared" si="12"/>
        <v>100</v>
      </c>
      <c r="T43" s="1558" t="s">
        <v>8</v>
      </c>
      <c r="U43" s="1559">
        <f t="shared" si="13"/>
        <v>100</v>
      </c>
      <c r="V43" s="1558" t="s">
        <v>8</v>
      </c>
      <c r="W43" s="1559">
        <f t="shared" si="14"/>
        <v>100</v>
      </c>
      <c r="X43" s="1552"/>
      <c r="Y43" s="3422"/>
      <c r="Z43" s="1560" t="str">
        <f t="shared" si="15"/>
        <v>内部装修</v>
      </c>
      <c r="AA43" s="1561">
        <f t="shared" si="3"/>
        <v>1</v>
      </c>
      <c r="AB43" s="1561">
        <f t="shared" si="4"/>
        <v>1</v>
      </c>
      <c r="AC43" s="1561">
        <f t="shared" si="5"/>
        <v>1</v>
      </c>
    </row>
    <row r="44" spans="1:29" ht="27">
      <c r="A44" s="594"/>
      <c r="B44" s="527" t="s">
        <v>726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2"/>
      <c r="Q44" s="1557" t="str">
        <f t="shared" si="11"/>
        <v>内部装修维护情况</v>
      </c>
      <c r="R44" s="1558" t="s">
        <v>8</v>
      </c>
      <c r="S44" s="1559">
        <f t="shared" si="12"/>
        <v>100</v>
      </c>
      <c r="T44" s="1558" t="s">
        <v>8</v>
      </c>
      <c r="U44" s="1559">
        <f t="shared" si="13"/>
        <v>100</v>
      </c>
      <c r="V44" s="1558" t="s">
        <v>8</v>
      </c>
      <c r="W44" s="1559">
        <f t="shared" si="14"/>
        <v>100</v>
      </c>
      <c r="X44" s="1552"/>
      <c r="Y44" s="3422"/>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2"/>
      <c r="Q45" s="1146">
        <f t="shared" si="11"/>
        <v>111</v>
      </c>
      <c r="R45" s="1553" t="s">
        <v>8</v>
      </c>
      <c r="S45" s="1554">
        <f t="shared" si="12"/>
        <v>100</v>
      </c>
      <c r="T45" s="1553" t="s">
        <v>8</v>
      </c>
      <c r="U45" s="1554">
        <f t="shared" si="13"/>
        <v>100</v>
      </c>
      <c r="V45" s="1553" t="s">
        <v>8</v>
      </c>
      <c r="W45" s="1554">
        <f t="shared" si="14"/>
        <v>100</v>
      </c>
      <c r="X45" s="1555"/>
      <c r="Y45" s="3422"/>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2"/>
      <c r="Q46" s="1557">
        <f t="shared" si="11"/>
        <v>111</v>
      </c>
      <c r="R46" s="1558" t="s">
        <v>8</v>
      </c>
      <c r="S46" s="1559">
        <f t="shared" si="12"/>
        <v>100</v>
      </c>
      <c r="T46" s="1558" t="s">
        <v>8</v>
      </c>
      <c r="U46" s="1559">
        <f t="shared" si="13"/>
        <v>100</v>
      </c>
      <c r="V46" s="1558" t="s">
        <v>8</v>
      </c>
      <c r="W46" s="1559">
        <f t="shared" si="14"/>
        <v>100</v>
      </c>
      <c r="X46" s="1552"/>
      <c r="Y46" s="3422"/>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3"/>
      <c r="Q47" s="1557">
        <f t="shared" si="11"/>
        <v>111</v>
      </c>
      <c r="R47" s="1558" t="s">
        <v>8</v>
      </c>
      <c r="S47" s="1559">
        <f t="shared" si="12"/>
        <v>100</v>
      </c>
      <c r="T47" s="1558" t="s">
        <v>8</v>
      </c>
      <c r="U47" s="1559">
        <f t="shared" si="13"/>
        <v>100</v>
      </c>
      <c r="V47" s="1558" t="s">
        <v>8</v>
      </c>
      <c r="W47" s="1559">
        <f t="shared" si="14"/>
        <v>100</v>
      </c>
      <c r="X47" s="1552"/>
      <c r="Y47" s="3503"/>
      <c r="Z47" s="1560">
        <f t="shared" si="15"/>
        <v>111</v>
      </c>
      <c r="AA47" s="1561">
        <f t="shared" si="3"/>
        <v>1</v>
      </c>
      <c r="AB47" s="1561">
        <f t="shared" si="4"/>
        <v>1</v>
      </c>
      <c r="AC47" s="1561">
        <f t="shared" si="5"/>
        <v>1</v>
      </c>
    </row>
    <row r="48" spans="1:29" ht="15">
      <c r="A48" s="607" t="s">
        <v>727</v>
      </c>
      <c r="B48" s="887"/>
      <c r="C48" s="2590" t="s">
        <v>1</v>
      </c>
      <c r="D48" s="2591"/>
      <c r="E48" s="2592"/>
      <c r="F48" s="2593"/>
      <c r="G48" s="2594"/>
      <c r="H48" s="2595"/>
      <c r="I48" s="2592"/>
      <c r="J48" s="2595"/>
      <c r="K48" s="1595"/>
      <c r="L48" s="2128"/>
      <c r="M48" s="2118"/>
      <c r="N48" s="2118"/>
      <c r="O48" s="2118"/>
      <c r="P48" s="3383" t="str">
        <f>A48</f>
        <v>成交单价（元/平方米）</v>
      </c>
      <c r="Q48" s="3385"/>
      <c r="R48" s="3502">
        <f>E48</f>
        <v>0</v>
      </c>
      <c r="S48" s="3502"/>
      <c r="T48" s="3502">
        <f>G48</f>
        <v>0</v>
      </c>
      <c r="U48" s="3502"/>
      <c r="V48" s="3502">
        <f>I48</f>
        <v>0</v>
      </c>
      <c r="W48" s="3502"/>
      <c r="X48" s="1544"/>
      <c r="Y48" s="1566"/>
      <c r="Z48" s="1544"/>
      <c r="AA48" s="1544"/>
      <c r="AB48" s="1544"/>
      <c r="AC48" s="1544"/>
    </row>
    <row r="49" spans="1:29" ht="15.75" thickBot="1">
      <c r="A49" s="615" t="s">
        <v>2745</v>
      </c>
      <c r="B49" s="888"/>
      <c r="C49" s="2596" t="e">
        <f>R50</f>
        <v>#DIV/0!</v>
      </c>
      <c r="D49" s="2597"/>
      <c r="E49" s="2598" t="e">
        <f>R49</f>
        <v>#DIV/0!</v>
      </c>
      <c r="F49" s="2598"/>
      <c r="G49" s="2596" t="e">
        <f>T49</f>
        <v>#DIV/0!</v>
      </c>
      <c r="H49" s="2597"/>
      <c r="I49" s="2598" t="e">
        <f>V49</f>
        <v>#DIV/0!</v>
      </c>
      <c r="J49" s="2597"/>
      <c r="K49" s="1596"/>
      <c r="L49" s="2128"/>
      <c r="M49" s="2118"/>
      <c r="N49" s="2118"/>
      <c r="O49" s="2118"/>
      <c r="P49" s="3383" t="str">
        <f>A49</f>
        <v>比较价格（元/平方米）</v>
      </c>
      <c r="Q49" s="3385"/>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4"/>
      <c r="Y49" s="1544"/>
      <c r="Z49" s="1544"/>
      <c r="AA49" s="1544"/>
      <c r="AB49" s="1544"/>
      <c r="AC49" s="1544"/>
    </row>
    <row r="50" spans="1:29" ht="15.75" thickBot="1">
      <c r="A50" s="621" t="s">
        <v>2922</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3"/>
      <c r="R50" s="3501" t="e">
        <f>IF(F1="售价",ROUND(AVERAGE(R49:V49),0),ROUND(AVERAGE(R49:V49),1))</f>
        <v>#DIV/0!</v>
      </c>
      <c r="S50" s="3501"/>
      <c r="T50" s="3501"/>
      <c r="U50" s="3501"/>
      <c r="V50" s="3501"/>
      <c r="W50" s="350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548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549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565</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520</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566</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522</v>
      </c>
      <c r="B62" s="648"/>
      <c r="C62" s="660" t="s">
        <v>567</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568</v>
      </c>
      <c r="B64" s="665" t="s">
        <v>525</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528</v>
      </c>
      <c r="C66" s="674" t="s">
        <v>728</v>
      </c>
      <c r="D66" s="674" t="s">
        <v>729</v>
      </c>
      <c r="E66" s="674" t="s">
        <v>730</v>
      </c>
      <c r="F66" s="674" t="s">
        <v>731</v>
      </c>
      <c r="G66" s="674" t="s">
        <v>732</v>
      </c>
      <c r="H66" s="674" t="s">
        <v>733</v>
      </c>
      <c r="I66" s="674" t="s">
        <v>734</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529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530</v>
      </c>
      <c r="B77" s="665" t="s">
        <v>576</v>
      </c>
      <c r="C77" s="703" t="s">
        <v>570</v>
      </c>
      <c r="D77" s="703" t="s">
        <v>571</v>
      </c>
      <c r="E77" s="703" t="s">
        <v>572</v>
      </c>
      <c r="F77" s="703" t="s">
        <v>573</v>
      </c>
      <c r="G77" s="703" t="s">
        <v>574</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577</v>
      </c>
      <c r="C79" s="708" t="s">
        <v>570</v>
      </c>
      <c r="D79" s="708" t="s">
        <v>571</v>
      </c>
      <c r="E79" s="708" t="s">
        <v>572</v>
      </c>
      <c r="F79" s="708" t="s">
        <v>573</v>
      </c>
      <c r="G79" s="708" t="s">
        <v>574</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2543</v>
      </c>
      <c r="C81" s="708" t="s">
        <v>570</v>
      </c>
      <c r="D81" s="708" t="s">
        <v>571</v>
      </c>
      <c r="E81" s="708" t="s">
        <v>572</v>
      </c>
      <c r="F81" s="708" t="s">
        <v>573</v>
      </c>
      <c r="G81" s="708" t="s">
        <v>574</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2544</v>
      </c>
      <c r="C83" s="2561" t="s">
        <v>2545</v>
      </c>
      <c r="D83" s="2561" t="s">
        <v>2546</v>
      </c>
      <c r="E83" s="2561" t="s">
        <v>2547</v>
      </c>
      <c r="F83" s="2561" t="s">
        <v>2548</v>
      </c>
      <c r="G83" s="2561" t="s">
        <v>2549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775</v>
      </c>
      <c r="C85" s="708" t="s">
        <v>570</v>
      </c>
      <c r="D85" s="708" t="s">
        <v>571</v>
      </c>
      <c r="E85" s="708" t="s">
        <v>572</v>
      </c>
      <c r="F85" s="708" t="s">
        <v>573</v>
      </c>
      <c r="G85" s="708" t="s">
        <v>574</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776</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542</v>
      </c>
      <c r="B101" s="665" t="s">
        <v>738</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739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740</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742</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743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777</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744</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2542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778</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766</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746</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747</v>
      </c>
      <c r="C125" s="708" t="s">
        <v>570</v>
      </c>
      <c r="D125" s="708" t="s">
        <v>571</v>
      </c>
      <c r="E125" s="708" t="s">
        <v>572</v>
      </c>
      <c r="F125" s="708" t="s">
        <v>573</v>
      </c>
      <c r="G125" s="708" t="s">
        <v>574</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503" t="s">
        <v>779</v>
      </c>
      <c r="C1" s="504" t="s">
        <v>711</v>
      </c>
      <c r="D1" s="849"/>
      <c r="E1" s="506"/>
      <c r="F1" s="2761"/>
      <c r="G1" s="1585" t="s">
        <v>712</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458</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510</v>
      </c>
      <c r="B3" s="510" t="e">
        <f>C43</f>
        <v>#DIV/0!</v>
      </c>
      <c r="C3" s="852" t="s">
        <v>713</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512</v>
      </c>
      <c r="B4" s="513"/>
      <c r="C4" s="3391" t="s">
        <v>513</v>
      </c>
      <c r="D4" s="3392"/>
      <c r="E4" s="3425" t="s">
        <v>514</v>
      </c>
      <c r="F4" s="3426"/>
      <c r="G4" s="3391" t="s">
        <v>515</v>
      </c>
      <c r="H4" s="3392"/>
      <c r="I4" s="3391" t="s">
        <v>516</v>
      </c>
      <c r="J4" s="3392"/>
      <c r="K4" s="514" t="s">
        <v>517</v>
      </c>
      <c r="L4" s="2117"/>
      <c r="M4" s="2118"/>
      <c r="N4" s="2118"/>
      <c r="O4" s="2118"/>
      <c r="P4" s="3393" t="s">
        <v>518</v>
      </c>
      <c r="Q4" s="3394"/>
      <c r="R4" s="3399" t="s">
        <v>514</v>
      </c>
      <c r="S4" s="3400"/>
      <c r="T4" s="3399" t="s">
        <v>515</v>
      </c>
      <c r="U4" s="3400"/>
      <c r="V4" s="3386" t="s">
        <v>516</v>
      </c>
      <c r="W4" s="3386"/>
      <c r="X4" s="1552"/>
      <c r="Y4" s="3399" t="s">
        <v>518</v>
      </c>
      <c r="Z4" s="3400"/>
      <c r="AA4" s="3388" t="s">
        <v>514</v>
      </c>
      <c r="AB4" s="3389" t="s">
        <v>515</v>
      </c>
      <c r="AC4" s="3388" t="s">
        <v>516</v>
      </c>
    </row>
    <row r="5" spans="1:29" ht="15">
      <c r="A5" s="515"/>
      <c r="B5" s="516"/>
      <c r="C5" s="3407" t="s">
        <v>2916</v>
      </c>
      <c r="D5" s="3408"/>
      <c r="E5" s="3427" t="s">
        <v>2917</v>
      </c>
      <c r="F5" s="3428"/>
      <c r="G5" s="3407" t="s">
        <v>2918</v>
      </c>
      <c r="H5" s="3408"/>
      <c r="I5" s="3407" t="s">
        <v>2919</v>
      </c>
      <c r="J5" s="3408"/>
      <c r="K5" s="514"/>
      <c r="L5" s="2117"/>
      <c r="M5" s="2118"/>
      <c r="N5" s="2118"/>
      <c r="O5" s="2118"/>
      <c r="P5" s="3395"/>
      <c r="Q5" s="3396"/>
      <c r="R5" s="3401"/>
      <c r="S5" s="3402"/>
      <c r="T5" s="3401"/>
      <c r="U5" s="3402"/>
      <c r="V5" s="3386"/>
      <c r="W5" s="3386"/>
      <c r="X5" s="1552"/>
      <c r="Y5" s="3401"/>
      <c r="Z5" s="3402"/>
      <c r="AA5" s="3389"/>
      <c r="AB5" s="3389"/>
      <c r="AC5" s="3389"/>
    </row>
    <row r="6" spans="1:29" ht="15.75" thickBot="1">
      <c r="A6" s="517"/>
      <c r="B6" s="518"/>
      <c r="C6" s="3405" t="s">
        <v>2920</v>
      </c>
      <c r="D6" s="3406"/>
      <c r="E6" s="3423" t="s">
        <v>2920</v>
      </c>
      <c r="F6" s="3424"/>
      <c r="G6" s="3405" t="s">
        <v>2920</v>
      </c>
      <c r="H6" s="3406"/>
      <c r="I6" s="3405" t="s">
        <v>2920</v>
      </c>
      <c r="J6" s="3406"/>
      <c r="K6" s="514" t="s">
        <v>519</v>
      </c>
      <c r="L6" s="2117"/>
      <c r="M6" s="2118"/>
      <c r="N6" s="2118"/>
      <c r="O6" s="2118"/>
      <c r="P6" s="3397"/>
      <c r="Q6" s="3398"/>
      <c r="R6" s="3401"/>
      <c r="S6" s="3402"/>
      <c r="T6" s="3403"/>
      <c r="U6" s="3404"/>
      <c r="V6" s="3386"/>
      <c r="W6" s="3386"/>
      <c r="X6" s="1552"/>
      <c r="Y6" s="3403"/>
      <c r="Z6" s="3404"/>
      <c r="AA6" s="3390"/>
      <c r="AB6" s="3390"/>
      <c r="AC6" s="3390"/>
    </row>
    <row r="7" spans="1:29" s="1215" customFormat="1" ht="15.75" thickBot="1">
      <c r="A7" s="2866"/>
      <c r="B7" s="2873" t="s">
        <v>520</v>
      </c>
      <c r="C7" s="519">
        <f>'数据-取费表'!B2</f>
        <v>43998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6" t="s">
        <v>521</v>
      </c>
      <c r="Q7" s="3418"/>
      <c r="R7" s="1553" t="s">
        <v>8</v>
      </c>
      <c r="S7" s="1554">
        <f t="shared" ref="S7:S15" si="0">F7</f>
        <v>0</v>
      </c>
      <c r="T7" s="1553" t="s">
        <v>8</v>
      </c>
      <c r="U7" s="1554">
        <f t="shared" ref="U7:U15" si="1">H7</f>
        <v>0</v>
      </c>
      <c r="V7" s="1553" t="s">
        <v>8</v>
      </c>
      <c r="W7" s="1554">
        <f t="shared" ref="W7:W15"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6" t="s">
        <v>524</v>
      </c>
      <c r="Q8" s="3417"/>
      <c r="R8" s="1553" t="s">
        <v>8</v>
      </c>
      <c r="S8" s="1554">
        <f t="shared" si="0"/>
        <v>0</v>
      </c>
      <c r="T8" s="1553" t="s">
        <v>8</v>
      </c>
      <c r="U8" s="1554">
        <f t="shared" si="1"/>
        <v>0</v>
      </c>
      <c r="V8" s="1553" t="s">
        <v>8</v>
      </c>
      <c r="W8" s="1554">
        <f t="shared" si="2"/>
        <v>0</v>
      </c>
      <c r="X8" s="1555"/>
      <c r="Y8" s="3416" t="s">
        <v>524</v>
      </c>
      <c r="Z8" s="3417"/>
      <c r="AA8" s="1556" t="e">
        <f t="shared" ref="AA8:AA40" si="3">D8/F8</f>
        <v>#DIV/0!</v>
      </c>
      <c r="AB8" s="1556" t="e">
        <f t="shared" ref="AB8:AB40" si="4">D8/H8</f>
        <v>#DIV/0!</v>
      </c>
      <c r="AC8" s="1556" t="e">
        <f t="shared" ref="AC8:AC40" si="5">D8/J8</f>
        <v>#DIV/0!</v>
      </c>
    </row>
    <row r="9" spans="1:29" s="1215" customFormat="1" ht="15">
      <c r="A9" s="2868"/>
      <c r="B9" s="2875" t="s">
        <v>2741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5" t="s">
        <v>526</v>
      </c>
      <c r="Q9" s="1146" t="str">
        <f t="shared" ref="Q9:Q15" si="6">B9</f>
        <v>用途</v>
      </c>
      <c r="R9" s="1553" t="s">
        <v>8</v>
      </c>
      <c r="S9" s="1554">
        <f t="shared" si="0"/>
        <v>100</v>
      </c>
      <c r="T9" s="1553" t="s">
        <v>8</v>
      </c>
      <c r="U9" s="1554">
        <f t="shared" si="1"/>
        <v>100</v>
      </c>
      <c r="V9" s="1553" t="s">
        <v>8</v>
      </c>
      <c r="W9" s="1554">
        <f t="shared" si="2"/>
        <v>100</v>
      </c>
      <c r="X9" s="1555"/>
      <c r="Y9" s="3334" t="s">
        <v>527</v>
      </c>
      <c r="Z9" s="1145" t="str">
        <f t="shared" ref="Z9:Z15" si="7">Q9</f>
        <v>用途</v>
      </c>
      <c r="AA9" s="1556">
        <f t="shared" si="3"/>
        <v>1</v>
      </c>
      <c r="AB9" s="1556">
        <f t="shared" si="4"/>
        <v>1</v>
      </c>
      <c r="AC9" s="1556">
        <f t="shared" si="5"/>
        <v>1</v>
      </c>
    </row>
    <row r="10" spans="1:29" s="1333" customFormat="1" ht="27">
      <c r="A10" s="2869"/>
      <c r="B10" s="2874" t="s">
        <v>2742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0"/>
      <c r="B11" s="2874" t="s">
        <v>2743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5"/>
      <c r="Q11" s="1146" t="str">
        <f t="shared" si="6"/>
        <v>容积率</v>
      </c>
      <c r="R11" s="1553" t="s">
        <v>8</v>
      </c>
      <c r="S11" s="1554" t="e">
        <f t="shared" si="0"/>
        <v>#N/A</v>
      </c>
      <c r="T11" s="1553" t="s">
        <v>8</v>
      </c>
      <c r="U11" s="1554" t="e">
        <f t="shared" si="1"/>
        <v>#N/A</v>
      </c>
      <c r="V11" s="1553" t="s">
        <v>8</v>
      </c>
      <c r="W11" s="1554" t="e">
        <f t="shared" si="2"/>
        <v>#N/A</v>
      </c>
      <c r="X11" s="1555"/>
      <c r="Y11" s="3334"/>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5"/>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5"/>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5"/>
      <c r="Q14" s="1146">
        <f t="shared" si="6"/>
        <v>111</v>
      </c>
      <c r="R14" s="1553" t="s">
        <v>8</v>
      </c>
      <c r="S14" s="1554">
        <f t="shared" si="0"/>
        <v>100</v>
      </c>
      <c r="T14" s="1553" t="s">
        <v>8</v>
      </c>
      <c r="U14" s="1554">
        <f t="shared" si="1"/>
        <v>100</v>
      </c>
      <c r="V14" s="1553" t="s">
        <v>8</v>
      </c>
      <c r="W14" s="1554">
        <f t="shared" si="2"/>
        <v>100</v>
      </c>
      <c r="X14" s="1555"/>
      <c r="Y14" s="3334"/>
      <c r="Z14" s="1145">
        <f t="shared" si="7"/>
        <v>111</v>
      </c>
      <c r="AA14" s="1556">
        <f t="shared" si="3"/>
        <v>1</v>
      </c>
      <c r="AB14" s="1556">
        <f t="shared" si="4"/>
        <v>1</v>
      </c>
      <c r="AC14" s="1556">
        <f t="shared" si="5"/>
        <v>1</v>
      </c>
    </row>
    <row r="15" spans="1:29" ht="57">
      <c r="A15" s="2864" t="s">
        <v>2739</v>
      </c>
      <c r="B15" s="166" t="s">
        <v>780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9" t="s">
        <v>531</v>
      </c>
      <c r="Q15" s="1557" t="str">
        <f t="shared" si="6"/>
        <v>产业集聚程度</v>
      </c>
      <c r="R15" s="1558" t="s">
        <v>8</v>
      </c>
      <c r="S15" s="1559">
        <f t="shared" si="0"/>
        <v>100</v>
      </c>
      <c r="T15" s="1558" t="s">
        <v>8</v>
      </c>
      <c r="U15" s="1559">
        <f t="shared" si="1"/>
        <v>100</v>
      </c>
      <c r="V15" s="1558" t="s">
        <v>8</v>
      </c>
      <c r="W15" s="1559">
        <f t="shared" si="2"/>
        <v>100</v>
      </c>
      <c r="X15" s="1552"/>
      <c r="Y15" s="3419" t="s">
        <v>531</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20"/>
      <c r="Q16" s="1557"/>
      <c r="R16" s="1558"/>
      <c r="S16" s="1559"/>
      <c r="T16" s="1558"/>
      <c r="U16" s="1559"/>
      <c r="V16" s="1558"/>
      <c r="W16" s="1559"/>
      <c r="X16" s="1552"/>
      <c r="Y16" s="3420"/>
      <c r="Z16" s="1560"/>
      <c r="AA16" s="1561">
        <v>1</v>
      </c>
      <c r="AB16" s="1561">
        <v>1</v>
      </c>
      <c r="AC16" s="1561">
        <v>1</v>
      </c>
    </row>
    <row r="17" spans="1:29" ht="85.5">
      <c r="A17" s="532"/>
      <c r="B17" s="871" t="s">
        <v>287</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20"/>
      <c r="Q17" s="1557" t="str">
        <f>B17</f>
        <v>交通便捷度</v>
      </c>
      <c r="R17" s="1558" t="s">
        <v>8</v>
      </c>
      <c r="S17" s="1559">
        <f>F17</f>
        <v>100</v>
      </c>
      <c r="T17" s="1558" t="s">
        <v>8</v>
      </c>
      <c r="U17" s="1559">
        <f>H17</f>
        <v>100</v>
      </c>
      <c r="V17" s="1558" t="s">
        <v>8</v>
      </c>
      <c r="W17" s="1559">
        <f>J17</f>
        <v>100</v>
      </c>
      <c r="X17" s="1552"/>
      <c r="Y17" s="342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20"/>
      <c r="Q18" s="1557"/>
      <c r="R18" s="1558"/>
      <c r="S18" s="1559"/>
      <c r="T18" s="1558"/>
      <c r="U18" s="1559"/>
      <c r="V18" s="1558"/>
      <c r="W18" s="1559"/>
      <c r="X18" s="1552"/>
      <c r="Y18" s="3420"/>
      <c r="Z18" s="1560"/>
      <c r="AA18" s="1561">
        <v>1</v>
      </c>
      <c r="AB18" s="1561">
        <v>1</v>
      </c>
      <c r="AC18" s="1561">
        <v>1</v>
      </c>
    </row>
    <row r="19" spans="1:29" ht="42.75">
      <c r="A19" s="532"/>
      <c r="B19" s="2566" t="s">
        <v>2532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20"/>
      <c r="Q19" s="1557" t="str">
        <f>B19</f>
        <v>公共配套设施</v>
      </c>
      <c r="R19" s="1558" t="s">
        <v>8</v>
      </c>
      <c r="S19" s="1559">
        <f>F19</f>
        <v>100</v>
      </c>
      <c r="T19" s="1558" t="s">
        <v>8</v>
      </c>
      <c r="U19" s="1559">
        <f>H19</f>
        <v>100</v>
      </c>
      <c r="V19" s="1558" t="s">
        <v>8</v>
      </c>
      <c r="W19" s="1559">
        <f>J19</f>
        <v>100</v>
      </c>
      <c r="X19" s="1552"/>
      <c r="Y19" s="342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20"/>
      <c r="Q20" s="1557"/>
      <c r="R20" s="1558"/>
      <c r="S20" s="1559"/>
      <c r="T20" s="1558"/>
      <c r="U20" s="1559"/>
      <c r="V20" s="1558"/>
      <c r="W20" s="1559"/>
      <c r="X20" s="1552"/>
      <c r="Y20" s="3420"/>
      <c r="Z20" s="1560"/>
      <c r="AA20" s="1561">
        <v>1</v>
      </c>
      <c r="AB20" s="1561">
        <v>1</v>
      </c>
      <c r="AC20" s="1561">
        <v>1</v>
      </c>
    </row>
    <row r="21" spans="1:29" ht="28.5">
      <c r="A21" s="532"/>
      <c r="B21" s="2554" t="s">
        <v>2544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20"/>
      <c r="Q21" s="2542" t="str">
        <f>B21</f>
        <v>基础设施水平</v>
      </c>
      <c r="R21" s="1558" t="s">
        <v>8</v>
      </c>
      <c r="S21" s="1559">
        <f>F21</f>
        <v>100</v>
      </c>
      <c r="T21" s="1558" t="s">
        <v>8</v>
      </c>
      <c r="U21" s="1559">
        <f>H21</f>
        <v>100</v>
      </c>
      <c r="V21" s="1558" t="s">
        <v>8</v>
      </c>
      <c r="W21" s="1559">
        <f>J21</f>
        <v>100</v>
      </c>
      <c r="X21" s="2544"/>
      <c r="Y21" s="3420"/>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20"/>
      <c r="Q22" s="2542"/>
      <c r="R22" s="1558"/>
      <c r="S22" s="1559"/>
      <c r="T22" s="1558"/>
      <c r="U22" s="1559"/>
      <c r="V22" s="1558"/>
      <c r="W22" s="1559"/>
      <c r="X22" s="2544"/>
      <c r="Y22" s="3420"/>
      <c r="Z22" s="2543"/>
      <c r="AA22" s="1561">
        <v>1</v>
      </c>
      <c r="AB22" s="1561">
        <v>1</v>
      </c>
      <c r="AC22" s="1561">
        <v>1</v>
      </c>
    </row>
    <row r="23" spans="1:29" ht="71.25">
      <c r="A23" s="532"/>
      <c r="B23" s="871" t="s">
        <v>769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20"/>
      <c r="Q23" s="1557" t="str">
        <f>B23</f>
        <v>环境质量</v>
      </c>
      <c r="R23" s="1558" t="s">
        <v>8</v>
      </c>
      <c r="S23" s="1559">
        <f>F23</f>
        <v>100</v>
      </c>
      <c r="T23" s="1558" t="s">
        <v>8</v>
      </c>
      <c r="U23" s="1559">
        <f>H23</f>
        <v>100</v>
      </c>
      <c r="V23" s="1558" t="s">
        <v>8</v>
      </c>
      <c r="W23" s="1559">
        <f>J23</f>
        <v>100</v>
      </c>
      <c r="X23" s="1552"/>
      <c r="Y23" s="3420"/>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20"/>
      <c r="Q24" s="1557"/>
      <c r="R24" s="1558"/>
      <c r="S24" s="1559"/>
      <c r="T24" s="1558"/>
      <c r="U24" s="1559"/>
      <c r="V24" s="1558"/>
      <c r="W24" s="1559"/>
      <c r="X24" s="1552"/>
      <c r="Y24" s="342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20"/>
      <c r="Q25" s="1557">
        <f>B25</f>
        <v>111</v>
      </c>
      <c r="R25" s="1558" t="s">
        <v>8</v>
      </c>
      <c r="S25" s="1559">
        <f>F25</f>
        <v>100</v>
      </c>
      <c r="T25" s="1558" t="s">
        <v>8</v>
      </c>
      <c r="U25" s="1559">
        <f>H25</f>
        <v>100</v>
      </c>
      <c r="V25" s="1558" t="s">
        <v>8</v>
      </c>
      <c r="W25" s="1559">
        <f>J25</f>
        <v>100</v>
      </c>
      <c r="X25" s="1552"/>
      <c r="Y25" s="342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20"/>
      <c r="Q26" s="1557">
        <f t="shared" ref="Q26:Q40" si="11">B26</f>
        <v>111</v>
      </c>
      <c r="R26" s="1558" t="s">
        <v>8</v>
      </c>
      <c r="S26" s="1559">
        <f>F26</f>
        <v>100</v>
      </c>
      <c r="T26" s="1558" t="s">
        <v>8</v>
      </c>
      <c r="U26" s="1559">
        <f>H26</f>
        <v>100</v>
      </c>
      <c r="V26" s="1558" t="s">
        <v>8</v>
      </c>
      <c r="W26" s="1559">
        <f>J26</f>
        <v>100</v>
      </c>
      <c r="X26" s="1552"/>
      <c r="Y26" s="3420"/>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20"/>
      <c r="Q27" s="1146">
        <f t="shared" si="11"/>
        <v>111</v>
      </c>
      <c r="R27" s="1553" t="s">
        <v>8</v>
      </c>
      <c r="S27" s="1554">
        <f>F27</f>
        <v>100</v>
      </c>
      <c r="T27" s="1553" t="s">
        <v>8</v>
      </c>
      <c r="U27" s="1554">
        <f>H27</f>
        <v>100</v>
      </c>
      <c r="V27" s="1553" t="s">
        <v>8</v>
      </c>
      <c r="W27" s="1554">
        <f>J27</f>
        <v>100</v>
      </c>
      <c r="X27" s="1555"/>
      <c r="Y27" s="3420"/>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20"/>
      <c r="Q28" s="1557">
        <f t="shared" si="11"/>
        <v>111</v>
      </c>
      <c r="R28" s="1558" t="s">
        <v>8</v>
      </c>
      <c r="S28" s="1559">
        <f t="shared" ref="S28:S40" si="12">F28</f>
        <v>100</v>
      </c>
      <c r="T28" s="1558" t="s">
        <v>8</v>
      </c>
      <c r="U28" s="1559">
        <f t="shared" ref="U28:U40" si="13">H28</f>
        <v>100</v>
      </c>
      <c r="V28" s="1558" t="s">
        <v>8</v>
      </c>
      <c r="W28" s="1559">
        <f t="shared" ref="W28:W40" si="14">J28</f>
        <v>100</v>
      </c>
      <c r="X28" s="1552"/>
      <c r="Y28" s="3420"/>
      <c r="Z28" s="1560">
        <f t="shared" ref="Z28:Z40" si="15">Q28</f>
        <v>111</v>
      </c>
      <c r="AA28" s="1561">
        <f t="shared" si="3"/>
        <v>1</v>
      </c>
      <c r="AB28" s="1561">
        <f t="shared" si="4"/>
        <v>1</v>
      </c>
      <c r="AC28" s="1561">
        <f t="shared" si="5"/>
        <v>1</v>
      </c>
    </row>
    <row r="29" spans="1:29" ht="15">
      <c r="A29" s="2861" t="s">
        <v>2740</v>
      </c>
      <c r="B29" s="172" t="s">
        <v>771</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1" t="s">
        <v>541</v>
      </c>
      <c r="Q29" s="1557" t="str">
        <f t="shared" si="11"/>
        <v>建筑类型</v>
      </c>
      <c r="R29" s="1558" t="s">
        <v>8</v>
      </c>
      <c r="S29" s="1559">
        <f t="shared" si="12"/>
        <v>100</v>
      </c>
      <c r="T29" s="1558" t="s">
        <v>8</v>
      </c>
      <c r="U29" s="1559">
        <f t="shared" si="13"/>
        <v>100</v>
      </c>
      <c r="V29" s="1558" t="s">
        <v>8</v>
      </c>
      <c r="W29" s="1559">
        <f t="shared" si="14"/>
        <v>100</v>
      </c>
      <c r="X29" s="1552"/>
      <c r="Y29" s="3422" t="s">
        <v>541</v>
      </c>
      <c r="Z29" s="1560" t="str">
        <f t="shared" si="15"/>
        <v>建筑类型</v>
      </c>
      <c r="AA29" s="1561">
        <f t="shared" si="3"/>
        <v>1</v>
      </c>
      <c r="AB29" s="1561">
        <f t="shared" si="4"/>
        <v>1</v>
      </c>
      <c r="AC29" s="1561">
        <f t="shared" si="5"/>
        <v>1</v>
      </c>
    </row>
    <row r="30" spans="1:29" s="1334" customFormat="1" ht="15">
      <c r="A30" s="603"/>
      <c r="B30" s="527" t="s">
        <v>717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2"/>
      <c r="Q30" s="1589" t="str">
        <f t="shared" si="11"/>
        <v>项目建筑规模</v>
      </c>
      <c r="R30" s="1562" t="s">
        <v>8</v>
      </c>
      <c r="S30" s="1563" t="e">
        <f t="shared" si="12"/>
        <v>#N/A</v>
      </c>
      <c r="T30" s="1562" t="s">
        <v>8</v>
      </c>
      <c r="U30" s="1563" t="e">
        <f t="shared" si="13"/>
        <v>#N/A</v>
      </c>
      <c r="V30" s="1562" t="s">
        <v>8</v>
      </c>
      <c r="W30" s="1563" t="e">
        <f t="shared" si="14"/>
        <v>#N/A</v>
      </c>
      <c r="X30" s="1564"/>
      <c r="Y30" s="3422"/>
      <c r="Z30" s="1565" t="str">
        <f t="shared" si="15"/>
        <v>项目建筑规模</v>
      </c>
      <c r="AA30" s="1561" t="e">
        <f t="shared" si="3"/>
        <v>#N/A</v>
      </c>
      <c r="AB30" s="1561" t="e">
        <f t="shared" si="4"/>
        <v>#N/A</v>
      </c>
      <c r="AC30" s="1561" t="e">
        <f t="shared" si="5"/>
        <v>#N/A</v>
      </c>
    </row>
    <row r="31" spans="1:29" ht="15">
      <c r="A31" s="594"/>
      <c r="B31" s="527" t="s">
        <v>718</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2"/>
      <c r="Q31" s="1557" t="str">
        <f t="shared" si="11"/>
        <v>建筑结构</v>
      </c>
      <c r="R31" s="1558" t="s">
        <v>8</v>
      </c>
      <c r="S31" s="1559">
        <f t="shared" si="12"/>
        <v>100</v>
      </c>
      <c r="T31" s="1558" t="s">
        <v>8</v>
      </c>
      <c r="U31" s="1559">
        <f t="shared" si="13"/>
        <v>100</v>
      </c>
      <c r="V31" s="1558" t="s">
        <v>8</v>
      </c>
      <c r="W31" s="1559">
        <f t="shared" si="14"/>
        <v>100</v>
      </c>
      <c r="X31" s="1552"/>
      <c r="Y31" s="3422"/>
      <c r="Z31" s="1560" t="str">
        <f t="shared" si="15"/>
        <v>建筑结构</v>
      </c>
      <c r="AA31" s="1561">
        <f t="shared" si="3"/>
        <v>1</v>
      </c>
      <c r="AB31" s="1561">
        <f t="shared" si="4"/>
        <v>1</v>
      </c>
      <c r="AC31" s="1561">
        <f t="shared" si="5"/>
        <v>1</v>
      </c>
    </row>
    <row r="32" spans="1:29" ht="15">
      <c r="A32" s="594"/>
      <c r="B32" s="527" t="s">
        <v>754</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2"/>
      <c r="Q32" s="1557" t="str">
        <f t="shared" si="11"/>
        <v>公共部分装修</v>
      </c>
      <c r="R32" s="1558" t="s">
        <v>8</v>
      </c>
      <c r="S32" s="1559">
        <f t="shared" si="12"/>
        <v>100</v>
      </c>
      <c r="T32" s="1558" t="s">
        <v>8</v>
      </c>
      <c r="U32" s="1559">
        <f t="shared" si="13"/>
        <v>100</v>
      </c>
      <c r="V32" s="1558" t="s">
        <v>8</v>
      </c>
      <c r="W32" s="1559">
        <f t="shared" si="14"/>
        <v>100</v>
      </c>
      <c r="X32" s="1552"/>
      <c r="Y32" s="3422"/>
      <c r="Z32" s="1560" t="str">
        <f t="shared" si="15"/>
        <v>公共部分装修</v>
      </c>
      <c r="AA32" s="1561">
        <f t="shared" si="3"/>
        <v>1</v>
      </c>
      <c r="AB32" s="1561">
        <f t="shared" si="4"/>
        <v>1</v>
      </c>
      <c r="AC32" s="1561">
        <f t="shared" si="5"/>
        <v>1</v>
      </c>
    </row>
    <row r="33" spans="1:29" ht="15">
      <c r="A33" s="594"/>
      <c r="B33" s="527" t="s">
        <v>755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2"/>
      <c r="Q33" s="1557" t="str">
        <f t="shared" si="11"/>
        <v>成新度</v>
      </c>
      <c r="R33" s="1558" t="s">
        <v>8</v>
      </c>
      <c r="S33" s="1559" t="e">
        <f t="shared" si="12"/>
        <v>#N/A</v>
      </c>
      <c r="T33" s="1558" t="s">
        <v>8</v>
      </c>
      <c r="U33" s="1559" t="e">
        <f t="shared" si="13"/>
        <v>#N/A</v>
      </c>
      <c r="V33" s="1558" t="s">
        <v>8</v>
      </c>
      <c r="W33" s="1559" t="e">
        <f t="shared" si="14"/>
        <v>#N/A</v>
      </c>
      <c r="X33" s="1552"/>
      <c r="Y33" s="3422"/>
      <c r="Z33" s="1560" t="str">
        <f t="shared" si="15"/>
        <v>成新度</v>
      </c>
      <c r="AA33" s="1561" t="e">
        <f t="shared" si="3"/>
        <v>#N/A</v>
      </c>
      <c r="AB33" s="1561" t="e">
        <f t="shared" si="4"/>
        <v>#N/A</v>
      </c>
      <c r="AC33" s="1561" t="e">
        <f t="shared" si="5"/>
        <v>#N/A</v>
      </c>
    </row>
    <row r="34" spans="1:29" s="1215" customFormat="1" ht="15">
      <c r="A34" s="600"/>
      <c r="B34" s="527" t="s">
        <v>773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2"/>
      <c r="Q34" s="1146" t="str">
        <f t="shared" si="11"/>
        <v>物业管理</v>
      </c>
      <c r="R34" s="1553" t="s">
        <v>8</v>
      </c>
      <c r="S34" s="1554">
        <f t="shared" si="12"/>
        <v>100</v>
      </c>
      <c r="T34" s="1553" t="s">
        <v>8</v>
      </c>
      <c r="U34" s="1554">
        <f t="shared" si="13"/>
        <v>100</v>
      </c>
      <c r="V34" s="1553" t="s">
        <v>8</v>
      </c>
      <c r="W34" s="1554">
        <f t="shared" si="14"/>
        <v>100</v>
      </c>
      <c r="X34" s="1555"/>
      <c r="Y34" s="3422"/>
      <c r="Z34" s="1145" t="str">
        <f t="shared" si="15"/>
        <v>物业管理</v>
      </c>
      <c r="AA34" s="1556">
        <f t="shared" si="3"/>
        <v>1</v>
      </c>
      <c r="AB34" s="1556">
        <f t="shared" si="4"/>
        <v>1</v>
      </c>
      <c r="AC34" s="1556">
        <f t="shared" si="5"/>
        <v>1</v>
      </c>
    </row>
    <row r="35" spans="1:29" ht="15">
      <c r="A35" s="594"/>
      <c r="B35" s="1879" t="s">
        <v>2551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2" t="s">
        <v>541</v>
      </c>
      <c r="Q35" s="1557" t="str">
        <f t="shared" si="11"/>
        <v>市政基础设施</v>
      </c>
      <c r="R35" s="1558" t="s">
        <v>8</v>
      </c>
      <c r="S35" s="1559">
        <f t="shared" si="12"/>
        <v>100</v>
      </c>
      <c r="T35" s="1558" t="s">
        <v>8</v>
      </c>
      <c r="U35" s="1559">
        <f t="shared" si="13"/>
        <v>100</v>
      </c>
      <c r="V35" s="1558" t="s">
        <v>8</v>
      </c>
      <c r="W35" s="1559">
        <f t="shared" si="14"/>
        <v>100</v>
      </c>
      <c r="X35" s="1552"/>
      <c r="Y35" s="3422" t="s">
        <v>541</v>
      </c>
      <c r="Z35" s="1560" t="str">
        <f t="shared" si="15"/>
        <v>市政基础设施</v>
      </c>
      <c r="AA35" s="1561">
        <f t="shared" si="3"/>
        <v>1</v>
      </c>
      <c r="AB35" s="1561">
        <f t="shared" si="4"/>
        <v>1</v>
      </c>
      <c r="AC35" s="1561">
        <f t="shared" si="5"/>
        <v>1</v>
      </c>
    </row>
    <row r="36" spans="1:29" ht="15">
      <c r="A36" s="594"/>
      <c r="B36" s="527" t="s">
        <v>761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2"/>
      <c r="Q36" s="1557" t="str">
        <f t="shared" si="11"/>
        <v>内部装修</v>
      </c>
      <c r="R36" s="1558" t="s">
        <v>8</v>
      </c>
      <c r="S36" s="1559">
        <f t="shared" si="12"/>
        <v>100</v>
      </c>
      <c r="T36" s="1558" t="s">
        <v>8</v>
      </c>
      <c r="U36" s="1559">
        <f t="shared" si="13"/>
        <v>100</v>
      </c>
      <c r="V36" s="1558" t="s">
        <v>8</v>
      </c>
      <c r="W36" s="1559">
        <f t="shared" si="14"/>
        <v>100</v>
      </c>
      <c r="X36" s="1552"/>
      <c r="Y36" s="3422"/>
      <c r="Z36" s="1560" t="str">
        <f t="shared" si="15"/>
        <v>内部装修</v>
      </c>
      <c r="AA36" s="1561">
        <f t="shared" si="3"/>
        <v>1</v>
      </c>
      <c r="AB36" s="1561">
        <f t="shared" si="4"/>
        <v>1</v>
      </c>
      <c r="AC36" s="1561">
        <f t="shared" si="5"/>
        <v>1</v>
      </c>
    </row>
    <row r="37" spans="1:29" ht="15">
      <c r="A37" s="594"/>
      <c r="B37" s="527" t="s">
        <v>781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2"/>
      <c r="Q37" s="1557" t="str">
        <f t="shared" si="11"/>
        <v>内部装修状况</v>
      </c>
      <c r="R37" s="1558" t="s">
        <v>8</v>
      </c>
      <c r="S37" s="1559">
        <f t="shared" si="12"/>
        <v>100</v>
      </c>
      <c r="T37" s="1558" t="s">
        <v>8</v>
      </c>
      <c r="U37" s="1559">
        <f t="shared" si="13"/>
        <v>100</v>
      </c>
      <c r="V37" s="1558" t="s">
        <v>8</v>
      </c>
      <c r="W37" s="1559">
        <f t="shared" si="14"/>
        <v>100</v>
      </c>
      <c r="X37" s="1552"/>
      <c r="Y37" s="3422"/>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2"/>
      <c r="Q38" s="1589">
        <f t="shared" si="11"/>
        <v>111</v>
      </c>
      <c r="R38" s="1562" t="s">
        <v>8</v>
      </c>
      <c r="S38" s="1563">
        <f t="shared" si="12"/>
        <v>100</v>
      </c>
      <c r="T38" s="1562" t="s">
        <v>8</v>
      </c>
      <c r="U38" s="1563">
        <f t="shared" si="13"/>
        <v>100</v>
      </c>
      <c r="V38" s="1562" t="s">
        <v>8</v>
      </c>
      <c r="W38" s="1563">
        <f t="shared" si="14"/>
        <v>100</v>
      </c>
      <c r="X38" s="1564"/>
      <c r="Y38" s="3422"/>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2"/>
      <c r="Q39" s="1557">
        <f t="shared" si="11"/>
        <v>111</v>
      </c>
      <c r="R39" s="1558" t="s">
        <v>8</v>
      </c>
      <c r="S39" s="1559">
        <f t="shared" si="12"/>
        <v>100</v>
      </c>
      <c r="T39" s="1558" t="s">
        <v>8</v>
      </c>
      <c r="U39" s="1559">
        <f t="shared" si="13"/>
        <v>100</v>
      </c>
      <c r="V39" s="1558" t="s">
        <v>8</v>
      </c>
      <c r="W39" s="1559">
        <f t="shared" si="14"/>
        <v>100</v>
      </c>
      <c r="X39" s="1552"/>
      <c r="Y39" s="3422"/>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3"/>
      <c r="Q40" s="1557">
        <f t="shared" si="11"/>
        <v>111</v>
      </c>
      <c r="R40" s="1558" t="s">
        <v>8</v>
      </c>
      <c r="S40" s="1559">
        <f t="shared" si="12"/>
        <v>100</v>
      </c>
      <c r="T40" s="1558" t="s">
        <v>8</v>
      </c>
      <c r="U40" s="1559">
        <f t="shared" si="13"/>
        <v>100</v>
      </c>
      <c r="V40" s="1558" t="s">
        <v>8</v>
      </c>
      <c r="W40" s="1559">
        <f t="shared" si="14"/>
        <v>100</v>
      </c>
      <c r="X40" s="1552"/>
      <c r="Y40" s="3503"/>
      <c r="Z40" s="1560">
        <f t="shared" si="15"/>
        <v>111</v>
      </c>
      <c r="AA40" s="1561">
        <f t="shared" si="3"/>
        <v>1</v>
      </c>
      <c r="AB40" s="1561">
        <f t="shared" si="4"/>
        <v>1</v>
      </c>
      <c r="AC40" s="1561">
        <f t="shared" si="5"/>
        <v>1</v>
      </c>
    </row>
    <row r="41" spans="1:29" ht="15">
      <c r="A41" s="607" t="s">
        <v>727</v>
      </c>
      <c r="B41" s="887"/>
      <c r="C41" s="2590" t="s">
        <v>1</v>
      </c>
      <c r="D41" s="2591"/>
      <c r="E41" s="2592"/>
      <c r="F41" s="2593"/>
      <c r="G41" s="2594"/>
      <c r="H41" s="2595"/>
      <c r="I41" s="2592"/>
      <c r="J41" s="2595"/>
      <c r="K41" s="1595"/>
      <c r="L41" s="2128"/>
      <c r="M41" s="2129"/>
      <c r="N41" s="2118"/>
      <c r="O41" s="2129"/>
      <c r="P41" s="3385" t="str">
        <f>A41</f>
        <v>成交单价（元/平方米）</v>
      </c>
      <c r="Q41" s="3385"/>
      <c r="R41" s="3502">
        <f>E41</f>
        <v>0</v>
      </c>
      <c r="S41" s="3502"/>
      <c r="T41" s="3502">
        <f>G41</f>
        <v>0</v>
      </c>
      <c r="U41" s="3502"/>
      <c r="V41" s="3502">
        <f>I41</f>
        <v>0</v>
      </c>
      <c r="W41" s="3502"/>
      <c r="X41" s="1544"/>
      <c r="Y41" s="1566"/>
      <c r="Z41" s="1544"/>
      <c r="AA41" s="1544"/>
      <c r="AB41" s="1544"/>
      <c r="AC41" s="1544"/>
    </row>
    <row r="42" spans="1:29" ht="15.75" thickBot="1">
      <c r="A42" s="615" t="s">
        <v>2745</v>
      </c>
      <c r="B42" s="888"/>
      <c r="C42" s="2596" t="e">
        <f>R43</f>
        <v>#DIV/0!</v>
      </c>
      <c r="D42" s="2597"/>
      <c r="E42" s="2598" t="e">
        <f>R42</f>
        <v>#DIV/0!</v>
      </c>
      <c r="F42" s="2598"/>
      <c r="G42" s="2596" t="e">
        <f>T42</f>
        <v>#DIV/0!</v>
      </c>
      <c r="H42" s="2597"/>
      <c r="I42" s="2598" t="e">
        <f>V42</f>
        <v>#DIV/0!</v>
      </c>
      <c r="J42" s="2597"/>
      <c r="K42" s="1596"/>
      <c r="L42" s="2128"/>
      <c r="M42" s="2129"/>
      <c r="N42" s="2118"/>
      <c r="O42" s="2129"/>
      <c r="P42" s="3385" t="str">
        <f>A42</f>
        <v>比较价格（元/平方米）</v>
      </c>
      <c r="Q42" s="3385"/>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4"/>
      <c r="Y42" s="1544"/>
      <c r="Z42" s="1544"/>
      <c r="AA42" s="1544"/>
      <c r="AB42" s="1544"/>
      <c r="AC42" s="1544"/>
    </row>
    <row r="43" spans="1:29" ht="15.75" thickBot="1">
      <c r="A43" s="621" t="s">
        <v>2922</v>
      </c>
      <c r="B43" s="622"/>
      <c r="C43" s="2599" t="e">
        <f>R43</f>
        <v>#DIV/0!</v>
      </c>
      <c r="D43" s="2599"/>
      <c r="E43" s="2599"/>
      <c r="F43" s="2599"/>
      <c r="G43" s="2599"/>
      <c r="H43" s="2599"/>
      <c r="I43" s="2599"/>
      <c r="J43" s="2599"/>
      <c r="K43" s="1597"/>
      <c r="L43" s="2128"/>
      <c r="M43" s="2129"/>
      <c r="N43" s="2129"/>
      <c r="O43" s="2129"/>
      <c r="P43" s="3382" t="str">
        <f>A43</f>
        <v>估价对象XX用房的比较价格（楼面单价，元/平方米）</v>
      </c>
      <c r="Q43" s="3383"/>
      <c r="R43" s="3501" t="e">
        <f>IF(F1="售价",ROUND(AVERAGE(R42:V42),0),ROUND(AVERAGE(R42:V42),1))</f>
        <v>#DIV/0!</v>
      </c>
      <c r="S43" s="3501"/>
      <c r="T43" s="3501"/>
      <c r="U43" s="3501"/>
      <c r="V43" s="3501"/>
      <c r="W43" s="350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548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549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565</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520</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566</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522</v>
      </c>
      <c r="B55" s="648"/>
      <c r="C55" s="660" t="s">
        <v>567</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568</v>
      </c>
      <c r="B57" s="665" t="s">
        <v>525</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528</v>
      </c>
      <c r="C59" s="674" t="s">
        <v>728</v>
      </c>
      <c r="D59" s="674" t="s">
        <v>729</v>
      </c>
      <c r="E59" s="674" t="s">
        <v>730</v>
      </c>
      <c r="F59" s="674" t="s">
        <v>731</v>
      </c>
      <c r="G59" s="674" t="s">
        <v>732</v>
      </c>
      <c r="H59" s="674" t="s">
        <v>733</v>
      </c>
      <c r="I59" s="674" t="s">
        <v>734</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529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530</v>
      </c>
      <c r="B70" s="665" t="s">
        <v>576</v>
      </c>
      <c r="C70" s="703" t="s">
        <v>570</v>
      </c>
      <c r="D70" s="703" t="s">
        <v>571</v>
      </c>
      <c r="E70" s="703" t="s">
        <v>572</v>
      </c>
      <c r="F70" s="703" t="s">
        <v>573</v>
      </c>
      <c r="G70" s="703" t="s">
        <v>574</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577</v>
      </c>
      <c r="C72" s="708" t="s">
        <v>570</v>
      </c>
      <c r="D72" s="708" t="s">
        <v>571</v>
      </c>
      <c r="E72" s="708" t="s">
        <v>572</v>
      </c>
      <c r="F72" s="708" t="s">
        <v>573</v>
      </c>
      <c r="G72" s="708" t="s">
        <v>574</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2543</v>
      </c>
      <c r="C74" s="708" t="s">
        <v>570</v>
      </c>
      <c r="D74" s="708" t="s">
        <v>571</v>
      </c>
      <c r="E74" s="708" t="s">
        <v>572</v>
      </c>
      <c r="F74" s="708" t="s">
        <v>573</v>
      </c>
      <c r="G74" s="708" t="s">
        <v>574</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2544</v>
      </c>
      <c r="C76" s="2561" t="s">
        <v>2545</v>
      </c>
      <c r="D76" s="2561" t="s">
        <v>2546</v>
      </c>
      <c r="E76" s="2561" t="s">
        <v>2547</v>
      </c>
      <c r="F76" s="2561" t="s">
        <v>2548</v>
      </c>
      <c r="G76" s="2561" t="s">
        <v>2549</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775</v>
      </c>
      <c r="C78" s="708" t="s">
        <v>570</v>
      </c>
      <c r="D78" s="708" t="s">
        <v>571</v>
      </c>
      <c r="E78" s="708" t="s">
        <v>572</v>
      </c>
      <c r="F78" s="708" t="s">
        <v>573</v>
      </c>
      <c r="G78" s="708" t="s">
        <v>574</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542</v>
      </c>
      <c r="B88" s="665" t="s">
        <v>738</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739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740</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742</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743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744</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2542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746</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782</v>
      </c>
      <c r="C106" s="708" t="s">
        <v>570</v>
      </c>
      <c r="D106" s="708" t="s">
        <v>571</v>
      </c>
      <c r="E106" s="708" t="s">
        <v>572</v>
      </c>
      <c r="F106" s="708" t="s">
        <v>573</v>
      </c>
      <c r="G106" s="708" t="s">
        <v>574</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923"/>
      <c r="C1" s="504" t="s">
        <v>783</v>
      </c>
      <c r="D1" s="849"/>
      <c r="E1" s="506"/>
      <c r="F1" s="2761"/>
      <c r="G1" s="1585" t="s">
        <v>784</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785</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786</v>
      </c>
      <c r="B3" s="510" t="e">
        <f>IF(B37="元/平方米",C39,ROUND(B2*10000/D3,0))</f>
        <v>#DIV/0!</v>
      </c>
      <c r="C3" s="852" t="s">
        <v>787</v>
      </c>
      <c r="D3" s="851">
        <f>SUMIF('数据-汇总表'!$C19:$C33,D1,'数据-汇总表'!$E19:$E33)</f>
        <v>0</v>
      </c>
      <c r="E3" s="1832" t="s">
        <v>2063</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788</v>
      </c>
      <c r="B4" s="513"/>
      <c r="C4" s="3391" t="s">
        <v>789</v>
      </c>
      <c r="D4" s="3392"/>
      <c r="E4" s="3391" t="s">
        <v>790</v>
      </c>
      <c r="F4" s="3392"/>
      <c r="G4" s="3391" t="s">
        <v>791</v>
      </c>
      <c r="H4" s="3392"/>
      <c r="I4" s="3391" t="s">
        <v>792</v>
      </c>
      <c r="J4" s="3392"/>
      <c r="K4" s="514" t="s">
        <v>793</v>
      </c>
      <c r="L4" s="2117"/>
      <c r="M4" s="2118"/>
      <c r="N4" s="2118"/>
      <c r="O4" s="2118"/>
      <c r="P4" s="3393" t="s">
        <v>794</v>
      </c>
      <c r="Q4" s="3394"/>
      <c r="R4" s="3399" t="s">
        <v>790</v>
      </c>
      <c r="S4" s="3400"/>
      <c r="T4" s="3399" t="s">
        <v>791</v>
      </c>
      <c r="U4" s="3400"/>
      <c r="V4" s="3386" t="s">
        <v>792</v>
      </c>
      <c r="W4" s="3386"/>
      <c r="X4" s="1552"/>
      <c r="Y4" s="3399" t="s">
        <v>794</v>
      </c>
      <c r="Z4" s="3400"/>
      <c r="AA4" s="3388" t="s">
        <v>790</v>
      </c>
      <c r="AB4" s="3389" t="s">
        <v>791</v>
      </c>
      <c r="AC4" s="3388" t="s">
        <v>792</v>
      </c>
    </row>
    <row r="5" spans="1:29" ht="15">
      <c r="A5" s="515"/>
      <c r="B5" s="516"/>
      <c r="C5" s="3407" t="s">
        <v>2916</v>
      </c>
      <c r="D5" s="3408"/>
      <c r="E5" s="3407" t="s">
        <v>2917</v>
      </c>
      <c r="F5" s="3408"/>
      <c r="G5" s="3407" t="s">
        <v>2918</v>
      </c>
      <c r="H5" s="3408"/>
      <c r="I5" s="3407" t="s">
        <v>2919</v>
      </c>
      <c r="J5" s="3408"/>
      <c r="K5" s="514"/>
      <c r="L5" s="2117"/>
      <c r="M5" s="2118"/>
      <c r="N5" s="2118"/>
      <c r="O5" s="2118"/>
      <c r="P5" s="3395"/>
      <c r="Q5" s="3396"/>
      <c r="R5" s="3401"/>
      <c r="S5" s="3402"/>
      <c r="T5" s="3401"/>
      <c r="U5" s="3402"/>
      <c r="V5" s="3386"/>
      <c r="W5" s="3386"/>
      <c r="X5" s="1552"/>
      <c r="Y5" s="3401"/>
      <c r="Z5" s="3402"/>
      <c r="AA5" s="3389"/>
      <c r="AB5" s="3389"/>
      <c r="AC5" s="3389"/>
    </row>
    <row r="6" spans="1:29" ht="15.75" thickBot="1">
      <c r="A6" s="517"/>
      <c r="B6" s="518"/>
      <c r="C6" s="3405" t="s">
        <v>2920</v>
      </c>
      <c r="D6" s="3406"/>
      <c r="E6" s="3409" t="s">
        <v>2920</v>
      </c>
      <c r="F6" s="3410"/>
      <c r="G6" s="3405" t="s">
        <v>2920</v>
      </c>
      <c r="H6" s="3406"/>
      <c r="I6" s="3405" t="s">
        <v>2920</v>
      </c>
      <c r="J6" s="3406"/>
      <c r="K6" s="514" t="s">
        <v>519</v>
      </c>
      <c r="L6" s="2117"/>
      <c r="M6" s="2118"/>
      <c r="N6" s="2118"/>
      <c r="O6" s="2118"/>
      <c r="P6" s="3397"/>
      <c r="Q6" s="3398"/>
      <c r="R6" s="3401"/>
      <c r="S6" s="3402"/>
      <c r="T6" s="3403"/>
      <c r="U6" s="3404"/>
      <c r="V6" s="3386"/>
      <c r="W6" s="3386"/>
      <c r="X6" s="1552"/>
      <c r="Y6" s="3403"/>
      <c r="Z6" s="3404"/>
      <c r="AA6" s="3390"/>
      <c r="AB6" s="3390"/>
      <c r="AC6" s="3390"/>
    </row>
    <row r="7" spans="1:29" s="1215" customFormat="1" ht="15.75" thickBot="1">
      <c r="A7" s="2866"/>
      <c r="B7" s="2873" t="s">
        <v>520</v>
      </c>
      <c r="C7" s="519">
        <f>'数据-取费表'!B2</f>
        <v>43998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6" t="s">
        <v>521</v>
      </c>
      <c r="Q7" s="3418"/>
      <c r="R7" s="1553" t="s">
        <v>8</v>
      </c>
      <c r="S7" s="1554">
        <f t="shared" ref="S7:S14" si="0">F7</f>
        <v>0</v>
      </c>
      <c r="T7" s="1553" t="s">
        <v>8</v>
      </c>
      <c r="U7" s="1554">
        <f t="shared" ref="U7:U14" si="1">H7</f>
        <v>0</v>
      </c>
      <c r="V7" s="1553" t="s">
        <v>8</v>
      </c>
      <c r="W7" s="1554">
        <f t="shared" ref="W7:W14"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6" t="s">
        <v>524</v>
      </c>
      <c r="Q8" s="3417"/>
      <c r="R8" s="1553" t="s">
        <v>8</v>
      </c>
      <c r="S8" s="1554">
        <f t="shared" si="0"/>
        <v>0</v>
      </c>
      <c r="T8" s="1553" t="s">
        <v>8</v>
      </c>
      <c r="U8" s="1554">
        <f t="shared" si="1"/>
        <v>0</v>
      </c>
      <c r="V8" s="1553" t="s">
        <v>8</v>
      </c>
      <c r="W8" s="1554">
        <f t="shared" si="2"/>
        <v>0</v>
      </c>
      <c r="X8" s="1555"/>
      <c r="Y8" s="3416" t="s">
        <v>524</v>
      </c>
      <c r="Z8" s="3417"/>
      <c r="AA8" s="1556" t="e">
        <f t="shared" ref="AA8:AA36" si="3">D8/F8</f>
        <v>#DIV/0!</v>
      </c>
      <c r="AB8" s="1556" t="e">
        <f t="shared" ref="AB8:AB36" si="4">D8/H8</f>
        <v>#DIV/0!</v>
      </c>
      <c r="AC8" s="1556" t="e">
        <f t="shared" ref="AC8:AC36" si="5">D8/J8</f>
        <v>#DIV/0!</v>
      </c>
    </row>
    <row r="9" spans="1:29" s="1215" customFormat="1" ht="15">
      <c r="A9" s="2868"/>
      <c r="B9" s="2875" t="s">
        <v>2741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5" t="s">
        <v>526</v>
      </c>
      <c r="Q9" s="1146" t="str">
        <f t="shared" ref="Q9:Q14" si="6">B9</f>
        <v>用途</v>
      </c>
      <c r="R9" s="1553" t="s">
        <v>8</v>
      </c>
      <c r="S9" s="1554">
        <f t="shared" si="0"/>
        <v>100</v>
      </c>
      <c r="T9" s="1553" t="s">
        <v>8</v>
      </c>
      <c r="U9" s="1554">
        <f t="shared" si="1"/>
        <v>100</v>
      </c>
      <c r="V9" s="1553" t="s">
        <v>8</v>
      </c>
      <c r="W9" s="1554">
        <f t="shared" si="2"/>
        <v>100</v>
      </c>
      <c r="X9" s="1555"/>
      <c r="Y9" s="3334" t="s">
        <v>527</v>
      </c>
      <c r="Z9" s="1145" t="str">
        <f t="shared" ref="Z9:Z14" si="7">Q9</f>
        <v>用途</v>
      </c>
      <c r="AA9" s="1556">
        <f t="shared" si="3"/>
        <v>1</v>
      </c>
      <c r="AB9" s="1556">
        <f t="shared" si="4"/>
        <v>1</v>
      </c>
      <c r="AC9" s="1556">
        <f t="shared" si="5"/>
        <v>1</v>
      </c>
    </row>
    <row r="10" spans="1:29" s="1333" customFormat="1" ht="27">
      <c r="A10" s="2869"/>
      <c r="B10" s="2874" t="s">
        <v>2742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5"/>
      <c r="Q11" s="1146">
        <f t="shared" si="6"/>
        <v>111</v>
      </c>
      <c r="R11" s="1553" t="s">
        <v>8</v>
      </c>
      <c r="S11" s="1554">
        <f t="shared" si="0"/>
        <v>100</v>
      </c>
      <c r="T11" s="1553" t="s">
        <v>8</v>
      </c>
      <c r="U11" s="1554">
        <f t="shared" si="1"/>
        <v>100</v>
      </c>
      <c r="V11" s="1553" t="s">
        <v>8</v>
      </c>
      <c r="W11" s="1554">
        <f t="shared" si="2"/>
        <v>100</v>
      </c>
      <c r="X11" s="1555"/>
      <c r="Y11" s="3334"/>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5"/>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5"/>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85.5">
      <c r="A14" s="2864" t="s">
        <v>2739</v>
      </c>
      <c r="B14" s="547" t="s">
        <v>534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9" t="s">
        <v>531</v>
      </c>
      <c r="Q14" s="1557" t="str">
        <f t="shared" si="6"/>
        <v>交通便捷度</v>
      </c>
      <c r="R14" s="1558" t="s">
        <v>8</v>
      </c>
      <c r="S14" s="1559">
        <f t="shared" si="0"/>
        <v>100</v>
      </c>
      <c r="T14" s="1558" t="s">
        <v>8</v>
      </c>
      <c r="U14" s="1559">
        <f t="shared" si="1"/>
        <v>100</v>
      </c>
      <c r="V14" s="1558" t="s">
        <v>8</v>
      </c>
      <c r="W14" s="1559">
        <f t="shared" si="2"/>
        <v>100</v>
      </c>
      <c r="X14" s="1552"/>
      <c r="Y14" s="3419" t="s">
        <v>531</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2.75">
      <c r="A16" s="515"/>
      <c r="B16" s="2566" t="s">
        <v>2532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28.5">
      <c r="A18" s="515"/>
      <c r="B18" s="2554" t="s">
        <v>2544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7">
      <c r="A20" s="515"/>
      <c r="B20" s="560" t="s">
        <v>795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15"/>
      <c r="B22" s="560" t="s">
        <v>796</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20"/>
      <c r="Q24" s="1557">
        <f t="shared" ref="Q24:Q36"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20"/>
      <c r="Q25" s="1146">
        <f t="shared" si="11"/>
        <v>111</v>
      </c>
      <c r="R25" s="1553" t="s">
        <v>8</v>
      </c>
      <c r="S25" s="1554">
        <f>F25</f>
        <v>100</v>
      </c>
      <c r="T25" s="1553" t="s">
        <v>8</v>
      </c>
      <c r="U25" s="1554">
        <f>H25</f>
        <v>100</v>
      </c>
      <c r="V25" s="1553" t="s">
        <v>8</v>
      </c>
      <c r="W25" s="1554">
        <f>J25</f>
        <v>100</v>
      </c>
      <c r="X25" s="1555"/>
      <c r="Y25" s="3420"/>
      <c r="Z25" s="1145">
        <f>Q25</f>
        <v>111</v>
      </c>
      <c r="AA25" s="1561">
        <f>D25/F25</f>
        <v>1</v>
      </c>
      <c r="AB25" s="1561">
        <f>D25/H25</f>
        <v>1</v>
      </c>
      <c r="AC25" s="1561">
        <f>D25/J25</f>
        <v>1</v>
      </c>
    </row>
    <row r="26" spans="1:29" ht="15">
      <c r="A26" s="2861" t="s">
        <v>2740</v>
      </c>
      <c r="B26" s="170" t="s">
        <v>797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1" t="s">
        <v>541</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2" t="s">
        <v>541</v>
      </c>
      <c r="Z26" s="1560" t="str">
        <f t="shared" ref="Z26:Z36" si="15">Q26</f>
        <v>配套类型</v>
      </c>
      <c r="AA26" s="1561">
        <f t="shared" si="3"/>
        <v>1</v>
      </c>
      <c r="AB26" s="1561">
        <f t="shared" si="4"/>
        <v>1</v>
      </c>
      <c r="AC26" s="1561">
        <f t="shared" si="5"/>
        <v>1</v>
      </c>
    </row>
    <row r="27" spans="1:29" s="1334" customFormat="1" ht="15">
      <c r="A27" s="929"/>
      <c r="B27" s="582" t="s">
        <v>798</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2"/>
      <c r="Q27" s="1589" t="str">
        <f t="shared" si="11"/>
        <v>项目停车位配比</v>
      </c>
      <c r="R27" s="1562" t="s">
        <v>8</v>
      </c>
      <c r="S27" s="1563">
        <f t="shared" si="12"/>
        <v>100</v>
      </c>
      <c r="T27" s="1562" t="s">
        <v>8</v>
      </c>
      <c r="U27" s="1563">
        <f t="shared" si="13"/>
        <v>100</v>
      </c>
      <c r="V27" s="1562" t="s">
        <v>8</v>
      </c>
      <c r="W27" s="1563">
        <f t="shared" si="14"/>
        <v>100</v>
      </c>
      <c r="X27" s="1564"/>
      <c r="Y27" s="3422"/>
      <c r="Z27" s="1565" t="str">
        <f t="shared" si="15"/>
        <v>项目停车位配比</v>
      </c>
      <c r="AA27" s="1561">
        <f t="shared" si="3"/>
        <v>1</v>
      </c>
      <c r="AB27" s="1561">
        <f t="shared" si="4"/>
        <v>1</v>
      </c>
      <c r="AC27" s="1561">
        <f t="shared" si="5"/>
        <v>1</v>
      </c>
    </row>
    <row r="28" spans="1:29" ht="15">
      <c r="A28" s="931"/>
      <c r="B28" s="582" t="s">
        <v>799</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2"/>
      <c r="Q28" s="1557" t="str">
        <f t="shared" si="11"/>
        <v>公共部分装修</v>
      </c>
      <c r="R28" s="1558" t="s">
        <v>8</v>
      </c>
      <c r="S28" s="1559">
        <f t="shared" si="12"/>
        <v>100</v>
      </c>
      <c r="T28" s="1558" t="s">
        <v>8</v>
      </c>
      <c r="U28" s="1559">
        <f t="shared" si="13"/>
        <v>100</v>
      </c>
      <c r="V28" s="1558" t="s">
        <v>8</v>
      </c>
      <c r="W28" s="1559">
        <f t="shared" si="14"/>
        <v>100</v>
      </c>
      <c r="X28" s="1552"/>
      <c r="Y28" s="3422"/>
      <c r="Z28" s="1560" t="str">
        <f t="shared" si="15"/>
        <v>公共部分装修</v>
      </c>
      <c r="AA28" s="1561">
        <f t="shared" si="3"/>
        <v>1</v>
      </c>
      <c r="AB28" s="1561">
        <f t="shared" si="4"/>
        <v>1</v>
      </c>
      <c r="AC28" s="1561">
        <f t="shared" si="5"/>
        <v>1</v>
      </c>
    </row>
    <row r="29" spans="1:29" ht="15">
      <c r="A29" s="931"/>
      <c r="B29" s="582" t="s">
        <v>800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2"/>
      <c r="Q29" s="1557" t="str">
        <f t="shared" si="11"/>
        <v>成新率</v>
      </c>
      <c r="R29" s="1558" t="s">
        <v>8</v>
      </c>
      <c r="S29" s="1559" t="e">
        <f t="shared" si="12"/>
        <v>#N/A</v>
      </c>
      <c r="T29" s="1558" t="s">
        <v>8</v>
      </c>
      <c r="U29" s="1559" t="e">
        <f t="shared" si="13"/>
        <v>#N/A</v>
      </c>
      <c r="V29" s="1558" t="s">
        <v>8</v>
      </c>
      <c r="W29" s="1559" t="e">
        <f t="shared" si="14"/>
        <v>#N/A</v>
      </c>
      <c r="X29" s="1552"/>
      <c r="Y29" s="3422"/>
      <c r="Z29" s="1560" t="str">
        <f t="shared" si="15"/>
        <v>成新率</v>
      </c>
      <c r="AA29" s="1561" t="e">
        <f t="shared" si="3"/>
        <v>#N/A</v>
      </c>
      <c r="AB29" s="1561" t="e">
        <f t="shared" si="4"/>
        <v>#N/A</v>
      </c>
      <c r="AC29" s="1561" t="e">
        <f t="shared" si="5"/>
        <v>#N/A</v>
      </c>
    </row>
    <row r="30" spans="1:29" ht="15">
      <c r="A30" s="931"/>
      <c r="B30" s="582" t="s">
        <v>801</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2"/>
      <c r="Q30" s="1557" t="str">
        <f t="shared" si="11"/>
        <v>物业等级</v>
      </c>
      <c r="R30" s="1558" t="s">
        <v>8</v>
      </c>
      <c r="S30" s="1559">
        <f t="shared" si="12"/>
        <v>100</v>
      </c>
      <c r="T30" s="1558" t="s">
        <v>8</v>
      </c>
      <c r="U30" s="1559">
        <f t="shared" si="13"/>
        <v>100</v>
      </c>
      <c r="V30" s="1558" t="s">
        <v>8</v>
      </c>
      <c r="W30" s="1559">
        <f t="shared" si="14"/>
        <v>100</v>
      </c>
      <c r="X30" s="1552"/>
      <c r="Y30" s="3422"/>
      <c r="Z30" s="1560" t="str">
        <f t="shared" si="15"/>
        <v>物业等级</v>
      </c>
      <c r="AA30" s="1561">
        <f t="shared" si="3"/>
        <v>1</v>
      </c>
      <c r="AB30" s="1561">
        <f t="shared" si="4"/>
        <v>1</v>
      </c>
      <c r="AC30" s="1561">
        <f t="shared" si="5"/>
        <v>1</v>
      </c>
    </row>
    <row r="31" spans="1:29" s="1215" customFormat="1" ht="15">
      <c r="A31" s="933"/>
      <c r="B31" s="582" t="s">
        <v>802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2"/>
      <c r="Q31" s="1146" t="str">
        <f t="shared" si="11"/>
        <v>停车位面积</v>
      </c>
      <c r="R31" s="1553" t="s">
        <v>8</v>
      </c>
      <c r="S31" s="1554" t="e">
        <f t="shared" si="12"/>
        <v>#N/A</v>
      </c>
      <c r="T31" s="1553" t="s">
        <v>8</v>
      </c>
      <c r="U31" s="1554" t="e">
        <f t="shared" si="13"/>
        <v>#N/A</v>
      </c>
      <c r="V31" s="1553" t="s">
        <v>8</v>
      </c>
      <c r="W31" s="1554" t="e">
        <f t="shared" si="14"/>
        <v>#N/A</v>
      </c>
      <c r="X31" s="1555"/>
      <c r="Y31" s="3422"/>
      <c r="Z31" s="1145" t="str">
        <f t="shared" si="15"/>
        <v>停车位面积</v>
      </c>
      <c r="AA31" s="1556" t="e">
        <f t="shared" si="3"/>
        <v>#N/A</v>
      </c>
      <c r="AB31" s="1556" t="e">
        <f t="shared" si="4"/>
        <v>#N/A</v>
      </c>
      <c r="AC31" s="1556" t="e">
        <f t="shared" si="5"/>
        <v>#N/A</v>
      </c>
    </row>
    <row r="32" spans="1:29" ht="15">
      <c r="A32" s="931"/>
      <c r="B32" s="582" t="s">
        <v>803</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2" t="s">
        <v>541</v>
      </c>
      <c r="Q32" s="1557" t="str">
        <f t="shared" si="11"/>
        <v>车位类型</v>
      </c>
      <c r="R32" s="1558" t="s">
        <v>8</v>
      </c>
      <c r="S32" s="1559">
        <f t="shared" si="12"/>
        <v>100</v>
      </c>
      <c r="T32" s="1558" t="s">
        <v>8</v>
      </c>
      <c r="U32" s="1559">
        <f t="shared" si="13"/>
        <v>100</v>
      </c>
      <c r="V32" s="1558" t="s">
        <v>8</v>
      </c>
      <c r="W32" s="1559">
        <f t="shared" si="14"/>
        <v>100</v>
      </c>
      <c r="X32" s="1552"/>
      <c r="Y32" s="3422" t="s">
        <v>541</v>
      </c>
      <c r="Z32" s="1560" t="str">
        <f t="shared" si="15"/>
        <v>车位类型</v>
      </c>
      <c r="AA32" s="1561">
        <f t="shared" si="3"/>
        <v>1</v>
      </c>
      <c r="AB32" s="1561">
        <f t="shared" si="4"/>
        <v>1</v>
      </c>
      <c r="AC32" s="1561">
        <f t="shared" si="5"/>
        <v>1</v>
      </c>
    </row>
    <row r="33" spans="1:29" ht="15">
      <c r="A33" s="931"/>
      <c r="B33" s="582" t="s">
        <v>804</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2"/>
      <c r="Q33" s="1557" t="str">
        <f t="shared" si="11"/>
        <v>是否直接入户</v>
      </c>
      <c r="R33" s="1558" t="s">
        <v>8</v>
      </c>
      <c r="S33" s="1559">
        <f t="shared" si="12"/>
        <v>100</v>
      </c>
      <c r="T33" s="1558" t="s">
        <v>8</v>
      </c>
      <c r="U33" s="1559">
        <f t="shared" si="13"/>
        <v>100</v>
      </c>
      <c r="V33" s="1558" t="s">
        <v>8</v>
      </c>
      <c r="W33" s="1559">
        <f t="shared" si="14"/>
        <v>100</v>
      </c>
      <c r="X33" s="1552"/>
      <c r="Y33" s="3422"/>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2"/>
      <c r="Q35" s="1589">
        <f t="shared" si="11"/>
        <v>111</v>
      </c>
      <c r="R35" s="1562" t="s">
        <v>8</v>
      </c>
      <c r="S35" s="1563">
        <f t="shared" si="12"/>
        <v>100</v>
      </c>
      <c r="T35" s="1562" t="s">
        <v>8</v>
      </c>
      <c r="U35" s="1563">
        <f t="shared" si="13"/>
        <v>100</v>
      </c>
      <c r="V35" s="1562" t="s">
        <v>8</v>
      </c>
      <c r="W35" s="1563">
        <f t="shared" si="14"/>
        <v>100</v>
      </c>
      <c r="X35" s="1564"/>
      <c r="Y35" s="3422"/>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2"/>
      <c r="Q36" s="1557">
        <f t="shared" si="11"/>
        <v>111</v>
      </c>
      <c r="R36" s="1558" t="s">
        <v>8</v>
      </c>
      <c r="S36" s="1559">
        <f t="shared" si="12"/>
        <v>100</v>
      </c>
      <c r="T36" s="1558" t="s">
        <v>8</v>
      </c>
      <c r="U36" s="1559">
        <f t="shared" si="13"/>
        <v>100</v>
      </c>
      <c r="V36" s="1558" t="s">
        <v>8</v>
      </c>
      <c r="W36" s="1559">
        <f t="shared" si="14"/>
        <v>100</v>
      </c>
      <c r="X36" s="1552"/>
      <c r="Y36" s="3422"/>
      <c r="Z36" s="1560">
        <f t="shared" si="15"/>
        <v>111</v>
      </c>
      <c r="AA36" s="1561">
        <f t="shared" si="3"/>
        <v>1</v>
      </c>
      <c r="AB36" s="1561">
        <f t="shared" si="4"/>
        <v>1</v>
      </c>
      <c r="AC36" s="1561">
        <f t="shared" si="5"/>
        <v>1</v>
      </c>
    </row>
    <row r="37" spans="1:29" ht="15">
      <c r="A37" s="1830" t="s">
        <v>2064</v>
      </c>
      <c r="B37" s="1831" t="s">
        <v>2065</v>
      </c>
      <c r="C37" s="2590" t="s">
        <v>1</v>
      </c>
      <c r="D37" s="2591"/>
      <c r="E37" s="2592"/>
      <c r="F37" s="2593"/>
      <c r="G37" s="2594"/>
      <c r="H37" s="2595"/>
      <c r="I37" s="2592"/>
      <c r="J37" s="2595"/>
      <c r="K37" s="1595"/>
      <c r="L37" s="2128"/>
      <c r="M37" s="2129"/>
      <c r="N37" s="2118"/>
      <c r="O37" s="2129"/>
      <c r="P37" s="3385" t="str">
        <f>A37</f>
        <v>成交单价</v>
      </c>
      <c r="Q37" s="3385"/>
      <c r="R37" s="3502">
        <f>E37</f>
        <v>0</v>
      </c>
      <c r="S37" s="3502"/>
      <c r="T37" s="3502">
        <f>G37</f>
        <v>0</v>
      </c>
      <c r="U37" s="3502"/>
      <c r="V37" s="3502">
        <f>I37</f>
        <v>0</v>
      </c>
      <c r="W37" s="3502"/>
      <c r="X37" s="1544"/>
      <c r="Y37" s="1566"/>
      <c r="Z37" s="1544"/>
      <c r="AA37" s="1544"/>
      <c r="AB37" s="1544"/>
      <c r="AC37" s="1544"/>
    </row>
    <row r="38" spans="1:29" ht="15.75" thickBot="1">
      <c r="A38" s="615" t="s">
        <v>2745</v>
      </c>
      <c r="B38" s="888"/>
      <c r="C38" s="2596" t="e">
        <f>R39</f>
        <v>#DIV/0!</v>
      </c>
      <c r="D38" s="2597"/>
      <c r="E38" s="2598" t="e">
        <f>R38</f>
        <v>#DIV/0!</v>
      </c>
      <c r="F38" s="2598"/>
      <c r="G38" s="2596" t="e">
        <f>T38</f>
        <v>#DIV/0!</v>
      </c>
      <c r="H38" s="2597"/>
      <c r="I38" s="2598" t="e">
        <f>V38</f>
        <v>#DIV/0!</v>
      </c>
      <c r="J38" s="2597"/>
      <c r="K38" s="1596"/>
      <c r="L38" s="2128"/>
      <c r="M38" s="2129"/>
      <c r="N38" s="2129"/>
      <c r="O38" s="2129"/>
      <c r="P38" s="3385" t="str">
        <f>A38</f>
        <v>比较价格（元/平方米）</v>
      </c>
      <c r="Q38" s="3385"/>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4"/>
      <c r="Y38" s="1544"/>
      <c r="Z38" s="1544"/>
      <c r="AA38" s="1544"/>
      <c r="AB38" s="1544"/>
      <c r="AC38" s="1544"/>
    </row>
    <row r="39" spans="1:29" ht="15.75" thickBot="1">
      <c r="A39" s="621" t="s">
        <v>2922</v>
      </c>
      <c r="B39" s="622"/>
      <c r="C39" s="2599" t="e">
        <f>R39</f>
        <v>#DIV/0!</v>
      </c>
      <c r="D39" s="2599"/>
      <c r="E39" s="2599"/>
      <c r="F39" s="2599"/>
      <c r="G39" s="2599"/>
      <c r="H39" s="2599"/>
      <c r="I39" s="2599"/>
      <c r="J39" s="2599"/>
      <c r="K39" s="1597"/>
      <c r="L39" s="2128"/>
      <c r="M39" s="2129"/>
      <c r="N39" s="2129"/>
      <c r="O39" s="2129"/>
      <c r="P39" s="3382" t="str">
        <f>A39</f>
        <v>估价对象XX用房的比较价格（楼面单价，元/平方米）</v>
      </c>
      <c r="Q39" s="3383"/>
      <c r="R39" s="3501" t="e">
        <f>IF(F1="售价",ROUND(AVERAGE(R38:V38),0),ROUND(AVERAGE(R38:V38),1))</f>
        <v>#DIV/0!</v>
      </c>
      <c r="S39" s="3501"/>
      <c r="T39" s="3501"/>
      <c r="U39" s="3501"/>
      <c r="V39" s="3501"/>
      <c r="W39" s="350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548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549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565</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520</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566</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522</v>
      </c>
      <c r="B51" s="648"/>
      <c r="C51" s="660" t="s">
        <v>567</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568</v>
      </c>
      <c r="B53" s="665" t="s">
        <v>525</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528</v>
      </c>
      <c r="C55" s="674" t="s">
        <v>728</v>
      </c>
      <c r="D55" s="674" t="s">
        <v>729</v>
      </c>
      <c r="E55" s="674" t="s">
        <v>730</v>
      </c>
      <c r="F55" s="674" t="s">
        <v>731</v>
      </c>
      <c r="G55" s="674" t="s">
        <v>732</v>
      </c>
      <c r="H55" s="674" t="s">
        <v>733</v>
      </c>
      <c r="I55" s="674" t="s">
        <v>734</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530</v>
      </c>
      <c r="B63" s="665" t="s">
        <v>577</v>
      </c>
      <c r="C63" s="703" t="s">
        <v>570</v>
      </c>
      <c r="D63" s="703" t="s">
        <v>571</v>
      </c>
      <c r="E63" s="703" t="s">
        <v>572</v>
      </c>
      <c r="F63" s="703" t="s">
        <v>573</v>
      </c>
      <c r="G63" s="703" t="s">
        <v>574</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2543</v>
      </c>
      <c r="C65" s="708" t="s">
        <v>570</v>
      </c>
      <c r="D65" s="708" t="s">
        <v>571</v>
      </c>
      <c r="E65" s="708" t="s">
        <v>572</v>
      </c>
      <c r="F65" s="708" t="s">
        <v>573</v>
      </c>
      <c r="G65" s="708" t="s">
        <v>574</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2544</v>
      </c>
      <c r="C67" s="2561" t="s">
        <v>2545</v>
      </c>
      <c r="D67" s="2561" t="s">
        <v>2546</v>
      </c>
      <c r="E67" s="2561" t="s">
        <v>2547</v>
      </c>
      <c r="F67" s="2561" t="s">
        <v>2548</v>
      </c>
      <c r="G67" s="2561" t="s">
        <v>2549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735</v>
      </c>
      <c r="C69" s="708" t="s">
        <v>570</v>
      </c>
      <c r="D69" s="708" t="s">
        <v>571</v>
      </c>
      <c r="E69" s="708" t="s">
        <v>572</v>
      </c>
      <c r="F69" s="708" t="s">
        <v>573</v>
      </c>
      <c r="G69" s="708" t="s">
        <v>574</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736</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542</v>
      </c>
      <c r="B79" s="665" t="s">
        <v>805</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806</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742</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807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808</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809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810</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811</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709</v>
      </c>
      <c r="B1" s="923"/>
      <c r="C1" s="504" t="s">
        <v>783</v>
      </c>
      <c r="D1" s="849"/>
      <c r="E1" s="506"/>
      <c r="F1" s="2761"/>
      <c r="G1" s="1585" t="s">
        <v>784</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785</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786</v>
      </c>
      <c r="B3" s="510" t="e">
        <f>C37</f>
        <v>#DIV/0!</v>
      </c>
      <c r="C3" s="852" t="s">
        <v>787</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788</v>
      </c>
      <c r="B4" s="513"/>
      <c r="C4" s="3391" t="s">
        <v>789</v>
      </c>
      <c r="D4" s="3392"/>
      <c r="E4" s="3425" t="s">
        <v>790</v>
      </c>
      <c r="F4" s="3426"/>
      <c r="G4" s="3391" t="s">
        <v>791</v>
      </c>
      <c r="H4" s="3392"/>
      <c r="I4" s="3391" t="s">
        <v>792</v>
      </c>
      <c r="J4" s="3392"/>
      <c r="K4" s="514" t="s">
        <v>793</v>
      </c>
      <c r="L4" s="2117"/>
      <c r="M4" s="2118"/>
      <c r="N4" s="2118"/>
      <c r="O4" s="2118"/>
      <c r="P4" s="3393" t="s">
        <v>794</v>
      </c>
      <c r="Q4" s="3394"/>
      <c r="R4" s="3399" t="s">
        <v>790</v>
      </c>
      <c r="S4" s="3400"/>
      <c r="T4" s="3399" t="s">
        <v>791</v>
      </c>
      <c r="U4" s="3400"/>
      <c r="V4" s="3386" t="s">
        <v>792</v>
      </c>
      <c r="W4" s="3386"/>
      <c r="X4" s="1552"/>
      <c r="Y4" s="3399" t="s">
        <v>794</v>
      </c>
      <c r="Z4" s="3400"/>
      <c r="AA4" s="3388" t="s">
        <v>790</v>
      </c>
      <c r="AB4" s="3389" t="s">
        <v>791</v>
      </c>
      <c r="AC4" s="3388" t="s">
        <v>792</v>
      </c>
    </row>
    <row r="5" spans="1:29" ht="15">
      <c r="A5" s="515"/>
      <c r="B5" s="516"/>
      <c r="C5" s="3407" t="s">
        <v>2916</v>
      </c>
      <c r="D5" s="3408"/>
      <c r="E5" s="3427" t="s">
        <v>2917</v>
      </c>
      <c r="F5" s="3428"/>
      <c r="G5" s="3407" t="s">
        <v>2918</v>
      </c>
      <c r="H5" s="3408"/>
      <c r="I5" s="3407" t="s">
        <v>2919</v>
      </c>
      <c r="J5" s="3408"/>
      <c r="K5" s="514"/>
      <c r="L5" s="2117"/>
      <c r="M5" s="2118"/>
      <c r="N5" s="2118"/>
      <c r="O5" s="2118"/>
      <c r="P5" s="3395"/>
      <c r="Q5" s="3396"/>
      <c r="R5" s="3401"/>
      <c r="S5" s="3402"/>
      <c r="T5" s="3401"/>
      <c r="U5" s="3402"/>
      <c r="V5" s="3386"/>
      <c r="W5" s="3386"/>
      <c r="X5" s="1552"/>
      <c r="Y5" s="3401"/>
      <c r="Z5" s="3402"/>
      <c r="AA5" s="3389"/>
      <c r="AB5" s="3389"/>
      <c r="AC5" s="3389"/>
    </row>
    <row r="6" spans="1:29" ht="15.75" thickBot="1">
      <c r="A6" s="517"/>
      <c r="B6" s="518"/>
      <c r="C6" s="3405" t="s">
        <v>2920</v>
      </c>
      <c r="D6" s="3406"/>
      <c r="E6" s="3423" t="s">
        <v>2920</v>
      </c>
      <c r="F6" s="3424"/>
      <c r="G6" s="3405" t="s">
        <v>2920</v>
      </c>
      <c r="H6" s="3406"/>
      <c r="I6" s="3405" t="s">
        <v>2920</v>
      </c>
      <c r="J6" s="3406"/>
      <c r="K6" s="514" t="s">
        <v>519</v>
      </c>
      <c r="L6" s="2117"/>
      <c r="M6" s="2118"/>
      <c r="N6" s="2118"/>
      <c r="O6" s="2118"/>
      <c r="P6" s="3397"/>
      <c r="Q6" s="3398"/>
      <c r="R6" s="3401"/>
      <c r="S6" s="3402"/>
      <c r="T6" s="3403"/>
      <c r="U6" s="3404"/>
      <c r="V6" s="3386"/>
      <c r="W6" s="3386"/>
      <c r="X6" s="1552"/>
      <c r="Y6" s="3403"/>
      <c r="Z6" s="3404"/>
      <c r="AA6" s="3390"/>
      <c r="AB6" s="3390"/>
      <c r="AC6" s="3390"/>
    </row>
    <row r="7" spans="1:29" s="1215" customFormat="1" ht="15.75" thickBot="1">
      <c r="A7" s="2866"/>
      <c r="B7" s="2873" t="s">
        <v>520</v>
      </c>
      <c r="C7" s="519">
        <f>'数据-取费表'!B2</f>
        <v>43998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6" t="s">
        <v>521</v>
      </c>
      <c r="Q7" s="3418"/>
      <c r="R7" s="1553" t="s">
        <v>8</v>
      </c>
      <c r="S7" s="1554">
        <f t="shared" ref="S7:S14" si="0">F7</f>
        <v>0</v>
      </c>
      <c r="T7" s="1553" t="s">
        <v>8</v>
      </c>
      <c r="U7" s="1554">
        <f t="shared" ref="U7:U14" si="1">H7</f>
        <v>0</v>
      </c>
      <c r="V7" s="1553" t="s">
        <v>8</v>
      </c>
      <c r="W7" s="1554">
        <f t="shared" ref="W7:W14" si="2">J7</f>
        <v>0</v>
      </c>
      <c r="X7" s="1555"/>
      <c r="Y7" s="3416" t="s">
        <v>521</v>
      </c>
      <c r="Z7" s="3417"/>
      <c r="AA7" s="1556" t="e">
        <f>D7/F7</f>
        <v>#DIV/0!</v>
      </c>
      <c r="AB7" s="1556" t="e">
        <f>D7/H7</f>
        <v>#DIV/0!</v>
      </c>
      <c r="AC7" s="1556" t="e">
        <f>D7/J7</f>
        <v>#DIV/0!</v>
      </c>
    </row>
    <row r="8" spans="1:29" s="1215" customFormat="1" ht="15.75" thickBot="1">
      <c r="A8" s="2867"/>
      <c r="B8" s="2874" t="s">
        <v>522</v>
      </c>
      <c r="C8" s="525" t="s">
        <v>567</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6" t="s">
        <v>524</v>
      </c>
      <c r="Q8" s="3417"/>
      <c r="R8" s="1553" t="s">
        <v>8</v>
      </c>
      <c r="S8" s="1554">
        <f t="shared" si="0"/>
        <v>0</v>
      </c>
      <c r="T8" s="1553" t="s">
        <v>8</v>
      </c>
      <c r="U8" s="1554">
        <f t="shared" si="1"/>
        <v>0</v>
      </c>
      <c r="V8" s="1553" t="s">
        <v>8</v>
      </c>
      <c r="W8" s="1554">
        <f t="shared" si="2"/>
        <v>0</v>
      </c>
      <c r="X8" s="1555"/>
      <c r="Y8" s="3416" t="s">
        <v>524</v>
      </c>
      <c r="Z8" s="3417"/>
      <c r="AA8" s="1556" t="e">
        <f t="shared" ref="AA8:AA34" si="3">D8/F8</f>
        <v>#DIV/0!</v>
      </c>
      <c r="AB8" s="1556" t="e">
        <f t="shared" ref="AB8:AB34" si="4">D8/H8</f>
        <v>#DIV/0!</v>
      </c>
      <c r="AC8" s="1556" t="e">
        <f t="shared" ref="AC8:AC34" si="5">D8/J8</f>
        <v>#DIV/0!</v>
      </c>
    </row>
    <row r="9" spans="1:29" s="1215" customFormat="1" ht="15">
      <c r="A9" s="2868"/>
      <c r="B9" s="2875" t="s">
        <v>2741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5" t="s">
        <v>526</v>
      </c>
      <c r="Q9" s="1146" t="str">
        <f t="shared" ref="Q9:Q14" si="6">B9</f>
        <v>用途</v>
      </c>
      <c r="R9" s="1553" t="s">
        <v>8</v>
      </c>
      <c r="S9" s="1554">
        <f t="shared" si="0"/>
        <v>100</v>
      </c>
      <c r="T9" s="1553" t="s">
        <v>8</v>
      </c>
      <c r="U9" s="1554">
        <f t="shared" si="1"/>
        <v>100</v>
      </c>
      <c r="V9" s="1553" t="s">
        <v>8</v>
      </c>
      <c r="W9" s="1554">
        <f t="shared" si="2"/>
        <v>100</v>
      </c>
      <c r="X9" s="1555"/>
      <c r="Y9" s="3334" t="s">
        <v>527</v>
      </c>
      <c r="Z9" s="1145" t="str">
        <f t="shared" ref="Z9:Z14" si="7">Q9</f>
        <v>用途</v>
      </c>
      <c r="AA9" s="1556">
        <f t="shared" si="3"/>
        <v>1</v>
      </c>
      <c r="AB9" s="1556">
        <f t="shared" si="4"/>
        <v>1</v>
      </c>
      <c r="AC9" s="1556">
        <f t="shared" si="5"/>
        <v>1</v>
      </c>
    </row>
    <row r="10" spans="1:29" s="1333" customFormat="1" ht="27">
      <c r="A10" s="2869"/>
      <c r="B10" s="2874" t="s">
        <v>2742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5"/>
      <c r="Q10" s="1146" t="str">
        <f t="shared" si="6"/>
        <v>土地使用年限（年）</v>
      </c>
      <c r="R10" s="1553" t="s">
        <v>8</v>
      </c>
      <c r="S10" s="1554">
        <f t="shared" si="0"/>
        <v>100</v>
      </c>
      <c r="T10" s="1553" t="s">
        <v>8</v>
      </c>
      <c r="U10" s="1554">
        <f t="shared" si="1"/>
        <v>100</v>
      </c>
      <c r="V10" s="1553" t="s">
        <v>8</v>
      </c>
      <c r="W10" s="1554">
        <f t="shared" si="2"/>
        <v>100</v>
      </c>
      <c r="X10" s="1555"/>
      <c r="Y10" s="3334"/>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5"/>
      <c r="Q11" s="1146">
        <f t="shared" si="6"/>
        <v>111</v>
      </c>
      <c r="R11" s="1553" t="s">
        <v>8</v>
      </c>
      <c r="S11" s="1554">
        <f t="shared" si="0"/>
        <v>100</v>
      </c>
      <c r="T11" s="1553" t="s">
        <v>8</v>
      </c>
      <c r="U11" s="1554">
        <f t="shared" si="1"/>
        <v>100</v>
      </c>
      <c r="V11" s="1553" t="s">
        <v>8</v>
      </c>
      <c r="W11" s="1554">
        <f t="shared" si="2"/>
        <v>100</v>
      </c>
      <c r="X11" s="1555"/>
      <c r="Y11" s="3334"/>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5"/>
      <c r="Q12" s="1146">
        <f t="shared" si="6"/>
        <v>111</v>
      </c>
      <c r="R12" s="1553" t="s">
        <v>8</v>
      </c>
      <c r="S12" s="1554">
        <f t="shared" si="0"/>
        <v>100</v>
      </c>
      <c r="T12" s="1553" t="s">
        <v>8</v>
      </c>
      <c r="U12" s="1554">
        <f t="shared" si="1"/>
        <v>100</v>
      </c>
      <c r="V12" s="1553" t="s">
        <v>8</v>
      </c>
      <c r="W12" s="1554">
        <f t="shared" si="2"/>
        <v>100</v>
      </c>
      <c r="X12" s="1555"/>
      <c r="Y12" s="3334"/>
      <c r="Z12" s="1145">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5"/>
      <c r="Q13" s="1146">
        <f t="shared" si="6"/>
        <v>111</v>
      </c>
      <c r="R13" s="1553" t="s">
        <v>8</v>
      </c>
      <c r="S13" s="1554">
        <f t="shared" si="0"/>
        <v>100</v>
      </c>
      <c r="T13" s="1553" t="s">
        <v>8</v>
      </c>
      <c r="U13" s="1554">
        <f t="shared" si="1"/>
        <v>100</v>
      </c>
      <c r="V13" s="1553" t="s">
        <v>8</v>
      </c>
      <c r="W13" s="1554">
        <f t="shared" si="2"/>
        <v>100</v>
      </c>
      <c r="X13" s="1555"/>
      <c r="Y13" s="3334"/>
      <c r="Z13" s="1145">
        <f t="shared" si="7"/>
        <v>111</v>
      </c>
      <c r="AA13" s="1556">
        <f t="shared" si="3"/>
        <v>1</v>
      </c>
      <c r="AB13" s="1556">
        <f t="shared" si="4"/>
        <v>1</v>
      </c>
      <c r="AC13" s="1556">
        <f t="shared" si="5"/>
        <v>1</v>
      </c>
    </row>
    <row r="14" spans="1:29" ht="85.5">
      <c r="A14" s="2864" t="s">
        <v>2739</v>
      </c>
      <c r="B14" s="166" t="s">
        <v>534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9" t="s">
        <v>531</v>
      </c>
      <c r="Q14" s="1557" t="str">
        <f t="shared" si="6"/>
        <v>交通便捷度</v>
      </c>
      <c r="R14" s="1558" t="s">
        <v>8</v>
      </c>
      <c r="S14" s="1559">
        <f t="shared" si="0"/>
        <v>100</v>
      </c>
      <c r="T14" s="1558" t="s">
        <v>8</v>
      </c>
      <c r="U14" s="1559">
        <f t="shared" si="1"/>
        <v>100</v>
      </c>
      <c r="V14" s="1558" t="s">
        <v>8</v>
      </c>
      <c r="W14" s="1559">
        <f t="shared" si="2"/>
        <v>100</v>
      </c>
      <c r="X14" s="1552"/>
      <c r="Y14" s="3419" t="s">
        <v>531</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20"/>
      <c r="Q15" s="1557"/>
      <c r="R15" s="1558"/>
      <c r="S15" s="1559"/>
      <c r="T15" s="1558"/>
      <c r="U15" s="1559"/>
      <c r="V15" s="1558"/>
      <c r="W15" s="1559"/>
      <c r="X15" s="1552"/>
      <c r="Y15" s="3420"/>
      <c r="Z15" s="1560"/>
      <c r="AA15" s="1561">
        <v>1</v>
      </c>
      <c r="AB15" s="1561">
        <v>1</v>
      </c>
      <c r="AC15" s="1561">
        <v>1</v>
      </c>
    </row>
    <row r="16" spans="1:29" ht="42.75">
      <c r="A16" s="532"/>
      <c r="B16" s="2566" t="s">
        <v>2532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20"/>
      <c r="Q16" s="1557" t="str">
        <f>B16</f>
        <v>公共配套设施</v>
      </c>
      <c r="R16" s="1558" t="s">
        <v>8</v>
      </c>
      <c r="S16" s="1559">
        <f>F16</f>
        <v>100</v>
      </c>
      <c r="T16" s="1558" t="s">
        <v>8</v>
      </c>
      <c r="U16" s="1559">
        <f>H16</f>
        <v>100</v>
      </c>
      <c r="V16" s="1558" t="s">
        <v>8</v>
      </c>
      <c r="W16" s="1559">
        <f>J16</f>
        <v>100</v>
      </c>
      <c r="X16" s="1552"/>
      <c r="Y16" s="342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20"/>
      <c r="Q17" s="1557"/>
      <c r="R17" s="1558"/>
      <c r="S17" s="1559"/>
      <c r="T17" s="1558"/>
      <c r="U17" s="1559"/>
      <c r="V17" s="1558"/>
      <c r="W17" s="1559"/>
      <c r="X17" s="1552"/>
      <c r="Y17" s="3420"/>
      <c r="Z17" s="1560"/>
      <c r="AA17" s="1561">
        <v>1</v>
      </c>
      <c r="AB17" s="1561">
        <v>1</v>
      </c>
      <c r="AC17" s="1561">
        <v>1</v>
      </c>
    </row>
    <row r="18" spans="1:29" ht="28.5">
      <c r="A18" s="532"/>
      <c r="B18" s="2554" t="s">
        <v>2544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20"/>
      <c r="Q18" s="2542" t="str">
        <f>B18</f>
        <v>基础设施水平</v>
      </c>
      <c r="R18" s="1558" t="s">
        <v>8</v>
      </c>
      <c r="S18" s="1559">
        <f>F18</f>
        <v>100</v>
      </c>
      <c r="T18" s="1558" t="s">
        <v>8</v>
      </c>
      <c r="U18" s="1559">
        <f>H18</f>
        <v>100</v>
      </c>
      <c r="V18" s="1558" t="s">
        <v>8</v>
      </c>
      <c r="W18" s="1559">
        <f>J18</f>
        <v>100</v>
      </c>
      <c r="X18" s="2544"/>
      <c r="Y18" s="3420"/>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20"/>
      <c r="Q19" s="2542"/>
      <c r="R19" s="1558"/>
      <c r="S19" s="1559"/>
      <c r="T19" s="1558"/>
      <c r="U19" s="1559"/>
      <c r="V19" s="1558"/>
      <c r="W19" s="1559"/>
      <c r="X19" s="2544"/>
      <c r="Y19" s="3420"/>
      <c r="Z19" s="2543"/>
      <c r="AA19" s="1561">
        <v>1</v>
      </c>
      <c r="AB19" s="1561">
        <v>1</v>
      </c>
      <c r="AC19" s="1561">
        <v>1</v>
      </c>
    </row>
    <row r="20" spans="1:29" ht="57">
      <c r="A20" s="532"/>
      <c r="B20" s="871" t="s">
        <v>795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20"/>
      <c r="Q20" s="1557" t="str">
        <f>B20</f>
        <v>自然及人文环境</v>
      </c>
      <c r="R20" s="1558" t="s">
        <v>8</v>
      </c>
      <c r="S20" s="1559">
        <f>F20</f>
        <v>100</v>
      </c>
      <c r="T20" s="1558" t="s">
        <v>8</v>
      </c>
      <c r="U20" s="1559">
        <f>H20</f>
        <v>100</v>
      </c>
      <c r="V20" s="1558" t="s">
        <v>8</v>
      </c>
      <c r="W20" s="1559">
        <f>J20</f>
        <v>100</v>
      </c>
      <c r="X20" s="1552"/>
      <c r="Y20" s="342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20"/>
      <c r="Q21" s="1557"/>
      <c r="R21" s="1558"/>
      <c r="S21" s="1559"/>
      <c r="T21" s="1558"/>
      <c r="U21" s="1559"/>
      <c r="V21" s="1558"/>
      <c r="W21" s="1559"/>
      <c r="X21" s="1552"/>
      <c r="Y21" s="3420"/>
      <c r="Z21" s="1560"/>
      <c r="AA21" s="1561">
        <v>1</v>
      </c>
      <c r="AB21" s="1561">
        <v>1</v>
      </c>
      <c r="AC21" s="1561">
        <v>1</v>
      </c>
    </row>
    <row r="22" spans="1:29" ht="15">
      <c r="A22" s="532"/>
      <c r="B22" s="871" t="s">
        <v>796</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20"/>
      <c r="Q22" s="1557" t="str">
        <f>B22</f>
        <v>楼层</v>
      </c>
      <c r="R22" s="1558" t="s">
        <v>8</v>
      </c>
      <c r="S22" s="1559">
        <f>F22</f>
        <v>100</v>
      </c>
      <c r="T22" s="1558" t="s">
        <v>8</v>
      </c>
      <c r="U22" s="1559">
        <f>H22</f>
        <v>100</v>
      </c>
      <c r="V22" s="1558" t="s">
        <v>8</v>
      </c>
      <c r="W22" s="1559">
        <f>J22</f>
        <v>100</v>
      </c>
      <c r="X22" s="1552"/>
      <c r="Y22" s="342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20"/>
      <c r="Q23" s="1557">
        <f>B23</f>
        <v>111</v>
      </c>
      <c r="R23" s="1558" t="s">
        <v>8</v>
      </c>
      <c r="S23" s="1559">
        <f>F23</f>
        <v>100</v>
      </c>
      <c r="T23" s="1558" t="s">
        <v>8</v>
      </c>
      <c r="U23" s="1559">
        <f>H23</f>
        <v>100</v>
      </c>
      <c r="V23" s="1558" t="s">
        <v>8</v>
      </c>
      <c r="W23" s="1559">
        <f>J23</f>
        <v>100</v>
      </c>
      <c r="X23" s="1552"/>
      <c r="Y23" s="342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20"/>
      <c r="Q24" s="1557">
        <f t="shared" ref="Q24:Q34" si="11">B24</f>
        <v>111</v>
      </c>
      <c r="R24" s="1558" t="s">
        <v>8</v>
      </c>
      <c r="S24" s="1559">
        <f>F24</f>
        <v>100</v>
      </c>
      <c r="T24" s="1558" t="s">
        <v>8</v>
      </c>
      <c r="U24" s="1559">
        <f>H24</f>
        <v>100</v>
      </c>
      <c r="V24" s="1558" t="s">
        <v>8</v>
      </c>
      <c r="W24" s="1559">
        <f>J24</f>
        <v>100</v>
      </c>
      <c r="X24" s="1552"/>
      <c r="Y24" s="3420"/>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20"/>
      <c r="Q25" s="1146">
        <f t="shared" si="11"/>
        <v>111</v>
      </c>
      <c r="R25" s="1553" t="s">
        <v>8</v>
      </c>
      <c r="S25" s="1554">
        <f>F25</f>
        <v>100</v>
      </c>
      <c r="T25" s="1553" t="s">
        <v>8</v>
      </c>
      <c r="U25" s="1554">
        <f>H25</f>
        <v>100</v>
      </c>
      <c r="V25" s="1553" t="s">
        <v>8</v>
      </c>
      <c r="W25" s="1554">
        <f>J25</f>
        <v>100</v>
      </c>
      <c r="X25" s="1555"/>
      <c r="Y25" s="3420"/>
      <c r="Z25" s="1145">
        <f>Q25</f>
        <v>111</v>
      </c>
      <c r="AA25" s="1561">
        <f>D25/F25</f>
        <v>1</v>
      </c>
      <c r="AB25" s="1561">
        <f>D25/H25</f>
        <v>1</v>
      </c>
      <c r="AC25" s="1561">
        <f>D25/J25</f>
        <v>1</v>
      </c>
    </row>
    <row r="26" spans="1:29" ht="15">
      <c r="A26" s="2861" t="s">
        <v>2740</v>
      </c>
      <c r="B26" s="172" t="s">
        <v>799</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1" t="s">
        <v>812</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2" t="s">
        <v>812</v>
      </c>
      <c r="Z26" s="1560" t="str">
        <f t="shared" ref="Z26:Z34" si="15">Q26</f>
        <v>公共部分装修</v>
      </c>
      <c r="AA26" s="1561">
        <f t="shared" si="3"/>
        <v>1</v>
      </c>
      <c r="AB26" s="1561">
        <f t="shared" si="4"/>
        <v>1</v>
      </c>
      <c r="AC26" s="1561">
        <f t="shared" si="5"/>
        <v>1</v>
      </c>
    </row>
    <row r="27" spans="1:29" s="1334" customFormat="1" ht="15">
      <c r="A27" s="603"/>
      <c r="B27" s="527" t="s">
        <v>800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2"/>
      <c r="Q27" s="1589" t="str">
        <f t="shared" si="11"/>
        <v>成新率</v>
      </c>
      <c r="R27" s="1562" t="s">
        <v>8</v>
      </c>
      <c r="S27" s="1563" t="e">
        <f t="shared" si="12"/>
        <v>#N/A</v>
      </c>
      <c r="T27" s="1562" t="s">
        <v>8</v>
      </c>
      <c r="U27" s="1563" t="e">
        <f t="shared" si="13"/>
        <v>#N/A</v>
      </c>
      <c r="V27" s="1562" t="s">
        <v>8</v>
      </c>
      <c r="W27" s="1563" t="e">
        <f t="shared" si="14"/>
        <v>#N/A</v>
      </c>
      <c r="X27" s="1564"/>
      <c r="Y27" s="3422"/>
      <c r="Z27" s="1565" t="str">
        <f t="shared" si="15"/>
        <v>成新率</v>
      </c>
      <c r="AA27" s="1561" t="e">
        <f t="shared" si="3"/>
        <v>#N/A</v>
      </c>
      <c r="AB27" s="1561" t="e">
        <f t="shared" si="4"/>
        <v>#N/A</v>
      </c>
      <c r="AC27" s="1561" t="e">
        <f t="shared" si="5"/>
        <v>#N/A</v>
      </c>
    </row>
    <row r="28" spans="1:29" ht="15">
      <c r="A28" s="594"/>
      <c r="B28" s="527" t="s">
        <v>801</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2"/>
      <c r="Q28" s="1557" t="str">
        <f t="shared" si="11"/>
        <v>物业等级</v>
      </c>
      <c r="R28" s="1558" t="s">
        <v>8</v>
      </c>
      <c r="S28" s="1559">
        <f t="shared" si="12"/>
        <v>100</v>
      </c>
      <c r="T28" s="1558" t="s">
        <v>8</v>
      </c>
      <c r="U28" s="1559">
        <f t="shared" si="13"/>
        <v>100</v>
      </c>
      <c r="V28" s="1558" t="s">
        <v>8</v>
      </c>
      <c r="W28" s="1559">
        <f t="shared" si="14"/>
        <v>100</v>
      </c>
      <c r="X28" s="1552"/>
      <c r="Y28" s="3422"/>
      <c r="Z28" s="1560" t="str">
        <f t="shared" si="15"/>
        <v>物业等级</v>
      </c>
      <c r="AA28" s="1561">
        <f t="shared" si="3"/>
        <v>1</v>
      </c>
      <c r="AB28" s="1561">
        <f t="shared" si="4"/>
        <v>1</v>
      </c>
      <c r="AC28" s="1561">
        <f t="shared" si="5"/>
        <v>1</v>
      </c>
    </row>
    <row r="29" spans="1:29" ht="15">
      <c r="A29" s="594"/>
      <c r="B29" s="527" t="s">
        <v>813</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2"/>
      <c r="Q29" s="1557" t="str">
        <f t="shared" si="11"/>
        <v>有无电梯</v>
      </c>
      <c r="R29" s="1558" t="s">
        <v>8</v>
      </c>
      <c r="S29" s="1559">
        <f t="shared" si="12"/>
        <v>100</v>
      </c>
      <c r="T29" s="1558" t="s">
        <v>8</v>
      </c>
      <c r="U29" s="1559">
        <f t="shared" si="13"/>
        <v>100</v>
      </c>
      <c r="V29" s="1558" t="s">
        <v>8</v>
      </c>
      <c r="W29" s="1559">
        <f t="shared" si="14"/>
        <v>100</v>
      </c>
      <c r="X29" s="1552"/>
      <c r="Y29" s="3422"/>
      <c r="Z29" s="1560" t="str">
        <f t="shared" si="15"/>
        <v>有无电梯</v>
      </c>
      <c r="AA29" s="1561">
        <f t="shared" si="3"/>
        <v>1</v>
      </c>
      <c r="AB29" s="1561">
        <f t="shared" si="4"/>
        <v>1</v>
      </c>
      <c r="AC29" s="1561">
        <f t="shared" si="5"/>
        <v>1</v>
      </c>
    </row>
    <row r="30" spans="1:29" ht="15">
      <c r="A30" s="594"/>
      <c r="B30" s="527" t="s">
        <v>814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2"/>
      <c r="Q30" s="1557" t="str">
        <f t="shared" si="11"/>
        <v>建筑面积</v>
      </c>
      <c r="R30" s="1558" t="s">
        <v>8</v>
      </c>
      <c r="S30" s="1559" t="e">
        <f t="shared" si="12"/>
        <v>#N/A</v>
      </c>
      <c r="T30" s="1558" t="s">
        <v>8</v>
      </c>
      <c r="U30" s="1559" t="e">
        <f t="shared" si="13"/>
        <v>#N/A</v>
      </c>
      <c r="V30" s="1558" t="s">
        <v>8</v>
      </c>
      <c r="W30" s="1559" t="e">
        <f t="shared" si="14"/>
        <v>#N/A</v>
      </c>
      <c r="X30" s="1552"/>
      <c r="Y30" s="3422"/>
      <c r="Z30" s="1560" t="str">
        <f t="shared" si="15"/>
        <v>建筑面积</v>
      </c>
      <c r="AA30" s="1561" t="e">
        <f t="shared" si="3"/>
        <v>#N/A</v>
      </c>
      <c r="AB30" s="1561" t="e">
        <f t="shared" si="4"/>
        <v>#N/A</v>
      </c>
      <c r="AC30" s="1561" t="e">
        <f t="shared" si="5"/>
        <v>#N/A</v>
      </c>
    </row>
    <row r="31" spans="1:29" s="1215" customFormat="1" ht="15">
      <c r="A31" s="600"/>
      <c r="B31" s="527" t="s">
        <v>815</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2"/>
      <c r="Q31" s="1146" t="str">
        <f t="shared" si="11"/>
        <v>是否封闭</v>
      </c>
      <c r="R31" s="1553" t="s">
        <v>8</v>
      </c>
      <c r="S31" s="1554">
        <f t="shared" si="12"/>
        <v>100</v>
      </c>
      <c r="T31" s="1553" t="s">
        <v>8</v>
      </c>
      <c r="U31" s="1554">
        <f t="shared" si="13"/>
        <v>100</v>
      </c>
      <c r="V31" s="1553" t="s">
        <v>8</v>
      </c>
      <c r="W31" s="1554">
        <f t="shared" si="14"/>
        <v>100</v>
      </c>
      <c r="X31" s="1555"/>
      <c r="Y31" s="3422"/>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2" t="s">
        <v>541</v>
      </c>
      <c r="Q32" s="1557">
        <f t="shared" si="11"/>
        <v>111</v>
      </c>
      <c r="R32" s="1558" t="s">
        <v>8</v>
      </c>
      <c r="S32" s="1559">
        <f t="shared" si="12"/>
        <v>100</v>
      </c>
      <c r="T32" s="1558" t="s">
        <v>8</v>
      </c>
      <c r="U32" s="1559">
        <f t="shared" si="13"/>
        <v>100</v>
      </c>
      <c r="V32" s="1558" t="s">
        <v>8</v>
      </c>
      <c r="W32" s="1559">
        <f t="shared" si="14"/>
        <v>100</v>
      </c>
      <c r="X32" s="1552"/>
      <c r="Y32" s="3422" t="s">
        <v>541</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2"/>
      <c r="Q33" s="1557">
        <f t="shared" si="11"/>
        <v>111</v>
      </c>
      <c r="R33" s="1558" t="s">
        <v>8</v>
      </c>
      <c r="S33" s="1559">
        <f t="shared" si="12"/>
        <v>100</v>
      </c>
      <c r="T33" s="1558" t="s">
        <v>8</v>
      </c>
      <c r="U33" s="1559">
        <f t="shared" si="13"/>
        <v>100</v>
      </c>
      <c r="V33" s="1558" t="s">
        <v>8</v>
      </c>
      <c r="W33" s="1559">
        <f t="shared" si="14"/>
        <v>100</v>
      </c>
      <c r="X33" s="1552"/>
      <c r="Y33" s="3422"/>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2"/>
      <c r="Q34" s="1557">
        <f t="shared" si="11"/>
        <v>111</v>
      </c>
      <c r="R34" s="1558" t="s">
        <v>8</v>
      </c>
      <c r="S34" s="1559">
        <f t="shared" si="12"/>
        <v>100</v>
      </c>
      <c r="T34" s="1558" t="s">
        <v>8</v>
      </c>
      <c r="U34" s="1559">
        <f t="shared" si="13"/>
        <v>100</v>
      </c>
      <c r="V34" s="1558" t="s">
        <v>8</v>
      </c>
      <c r="W34" s="1559">
        <f t="shared" si="14"/>
        <v>100</v>
      </c>
      <c r="X34" s="1552"/>
      <c r="Y34" s="3422"/>
      <c r="Z34" s="1560">
        <f t="shared" si="15"/>
        <v>111</v>
      </c>
      <c r="AA34" s="1561">
        <f t="shared" si="3"/>
        <v>1</v>
      </c>
      <c r="AB34" s="1561">
        <f t="shared" si="4"/>
        <v>1</v>
      </c>
      <c r="AC34" s="1561">
        <f t="shared" si="5"/>
        <v>1</v>
      </c>
    </row>
    <row r="35" spans="1:29" ht="15">
      <c r="A35" s="607" t="s">
        <v>727</v>
      </c>
      <c r="B35" s="887"/>
      <c r="C35" s="2590" t="s">
        <v>1</v>
      </c>
      <c r="D35" s="2591"/>
      <c r="E35" s="2592"/>
      <c r="F35" s="2593"/>
      <c r="G35" s="2594"/>
      <c r="H35" s="2595"/>
      <c r="I35" s="2592"/>
      <c r="J35" s="2595"/>
      <c r="K35" s="1595"/>
      <c r="L35" s="2128"/>
      <c r="M35" s="2129"/>
      <c r="N35" s="2118"/>
      <c r="O35" s="2129"/>
      <c r="P35" s="3385" t="str">
        <f>A35</f>
        <v>成交单价（元/平方米）</v>
      </c>
      <c r="Q35" s="3385"/>
      <c r="R35" s="3502">
        <f>E35</f>
        <v>0</v>
      </c>
      <c r="S35" s="3502"/>
      <c r="T35" s="3502">
        <f>G35</f>
        <v>0</v>
      </c>
      <c r="U35" s="3502"/>
      <c r="V35" s="3502">
        <f>I35</f>
        <v>0</v>
      </c>
      <c r="W35" s="3502"/>
      <c r="X35" s="1544"/>
      <c r="Y35" s="1566"/>
      <c r="Z35" s="1544"/>
      <c r="AA35" s="1544"/>
      <c r="AB35" s="1544"/>
      <c r="AC35" s="1544"/>
    </row>
    <row r="36" spans="1:29" ht="15.75" thickBot="1">
      <c r="A36" s="615" t="s">
        <v>2745</v>
      </c>
      <c r="B36" s="888"/>
      <c r="C36" s="2596" t="e">
        <f>R37</f>
        <v>#DIV/0!</v>
      </c>
      <c r="D36" s="2597"/>
      <c r="E36" s="2598" t="e">
        <f>R36</f>
        <v>#DIV/0!</v>
      </c>
      <c r="F36" s="2598"/>
      <c r="G36" s="2596" t="e">
        <f>T36</f>
        <v>#DIV/0!</v>
      </c>
      <c r="H36" s="2597"/>
      <c r="I36" s="2598" t="e">
        <f>V36</f>
        <v>#DIV/0!</v>
      </c>
      <c r="J36" s="2597"/>
      <c r="K36" s="1596"/>
      <c r="L36" s="2128"/>
      <c r="M36" s="2129"/>
      <c r="N36" s="2118"/>
      <c r="O36" s="2129"/>
      <c r="P36" s="3385" t="str">
        <f>A36</f>
        <v>比较价格（元/平方米）</v>
      </c>
      <c r="Q36" s="3385"/>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4"/>
      <c r="Y36" s="1544"/>
      <c r="Z36" s="1544"/>
      <c r="AA36" s="1544"/>
      <c r="AB36" s="1544"/>
      <c r="AC36" s="1544"/>
    </row>
    <row r="37" spans="1:29" ht="15.75" thickBot="1">
      <c r="A37" s="621" t="s">
        <v>2922</v>
      </c>
      <c r="B37" s="622"/>
      <c r="C37" s="2599" t="e">
        <f>R37</f>
        <v>#DIV/0!</v>
      </c>
      <c r="D37" s="2599"/>
      <c r="E37" s="2599"/>
      <c r="F37" s="2599"/>
      <c r="G37" s="2599"/>
      <c r="H37" s="2599"/>
      <c r="I37" s="2599"/>
      <c r="J37" s="2599"/>
      <c r="K37" s="1597"/>
      <c r="L37" s="2128"/>
      <c r="M37" s="2129"/>
      <c r="N37" s="2129"/>
      <c r="O37" s="2129"/>
      <c r="P37" s="3382" t="str">
        <f>A37</f>
        <v>估价对象XX用房的比较价格（楼面单价，元/平方米）</v>
      </c>
      <c r="Q37" s="3383"/>
      <c r="R37" s="3501" t="e">
        <f>IF(F1="售价",ROUND(AVERAGE(R36:V36),0),ROUND(AVERAGE(R36:V36),1))</f>
        <v>#DIV/0!</v>
      </c>
      <c r="S37" s="3501"/>
      <c r="T37" s="3501"/>
      <c r="U37" s="3501"/>
      <c r="V37" s="3501"/>
      <c r="W37" s="350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548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549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565</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520</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566</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522</v>
      </c>
      <c r="B49" s="648"/>
      <c r="C49" s="660" t="s">
        <v>567</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568</v>
      </c>
      <c r="B51" s="665" t="s">
        <v>525</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528</v>
      </c>
      <c r="C53" s="674" t="s">
        <v>728</v>
      </c>
      <c r="D53" s="674" t="s">
        <v>729</v>
      </c>
      <c r="E53" s="674" t="s">
        <v>730</v>
      </c>
      <c r="F53" s="674" t="s">
        <v>731</v>
      </c>
      <c r="G53" s="674" t="s">
        <v>732</v>
      </c>
      <c r="H53" s="674" t="s">
        <v>733</v>
      </c>
      <c r="I53" s="674" t="s">
        <v>734</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530</v>
      </c>
      <c r="B61" s="665" t="s">
        <v>577</v>
      </c>
      <c r="C61" s="703" t="s">
        <v>570</v>
      </c>
      <c r="D61" s="703" t="s">
        <v>571</v>
      </c>
      <c r="E61" s="703" t="s">
        <v>572</v>
      </c>
      <c r="F61" s="703" t="s">
        <v>573</v>
      </c>
      <c r="G61" s="703" t="s">
        <v>574</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2543</v>
      </c>
      <c r="C63" s="708" t="s">
        <v>570</v>
      </c>
      <c r="D63" s="708" t="s">
        <v>571</v>
      </c>
      <c r="E63" s="708" t="s">
        <v>572</v>
      </c>
      <c r="F63" s="708" t="s">
        <v>573</v>
      </c>
      <c r="G63" s="708" t="s">
        <v>574</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2544</v>
      </c>
      <c r="C65" s="2561" t="s">
        <v>2545</v>
      </c>
      <c r="D65" s="2561" t="s">
        <v>2546</v>
      </c>
      <c r="E65" s="2561" t="s">
        <v>2547</v>
      </c>
      <c r="F65" s="2561" t="s">
        <v>2548</v>
      </c>
      <c r="G65" s="2561" t="s">
        <v>2549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735</v>
      </c>
      <c r="C67" s="708" t="s">
        <v>570</v>
      </c>
      <c r="D67" s="708" t="s">
        <v>571</v>
      </c>
      <c r="E67" s="708" t="s">
        <v>572</v>
      </c>
      <c r="F67" s="708" t="s">
        <v>573</v>
      </c>
      <c r="G67" s="708" t="s">
        <v>574</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736</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542</v>
      </c>
      <c r="B77" s="665" t="s">
        <v>742</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807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808</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816</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817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818</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1893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1894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86744.76平方米。根据《建设工程规划许可证》[]、《出让合同》[]，估价对象规划建筑面积为245924.74平方米。</v>
      </c>
    </row>
    <row r="7" spans="1:4" ht="93.75">
      <c r="A7" s="2827" t="s">
        <v>2733</v>
      </c>
    </row>
    <row r="8" spans="1:4" ht="18.75">
      <c r="A8" s="1778" t="s">
        <v>1895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2013</v>
      </c>
    </row>
    <row r="11" spans="1:4" ht="18.75">
      <c r="A11" s="1764" t="str">
        <f>TEXT(项目基本情况!D3,"yyyy年m月d日;;")&amp;IF(项目基本情况!B3=项目基本情况!D3,"（评估专业人员勘察现场之日）","")</f>
        <v>2020年6月16日</v>
      </c>
    </row>
    <row r="12" spans="1:4" ht="18.75">
      <c r="A12" s="1781" t="s">
        <v>2012</v>
      </c>
    </row>
    <row r="13" spans="1:4" ht="18.75">
      <c r="A13" s="1775" t="s">
        <v>2058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2059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根据《国有土地使用证》[]，估价对象（分摊）出让国有建设用地使用权面积为86744.76平方米。根据《建设工程规划许可证》[]、《出让合同》[]，估价对象规划建筑面积为245924.74平方米。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2061</v>
      </c>
    </row>
    <row r="23" spans="1:1" ht="18.75">
      <c r="A23" s="2829" t="s">
        <v>2734</v>
      </c>
    </row>
    <row r="24" spans="1:1" ht="18.75">
      <c r="A24" s="1775" t="s">
        <v>2062</v>
      </c>
    </row>
    <row r="25" spans="1:1" ht="75">
      <c r="A25" s="1775" t="str">
        <f>定义!C53</f>
        <v>本次估价的“出让国有建设用地使用权价格”是指在估价对象土地所有权为国家所有，使用权性质为出让，在公开市场条件下、于估价期日2020年6月16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2014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2289</v>
      </c>
      <c r="C1" s="3511" t="s">
        <v>2290</v>
      </c>
      <c r="D1" s="3512"/>
      <c r="E1" s="3512"/>
      <c r="F1" s="3512"/>
      <c r="G1" s="3512"/>
      <c r="H1" s="3512"/>
      <c r="I1" s="3512"/>
      <c r="J1" s="3512"/>
      <c r="K1" s="3512"/>
      <c r="L1" s="3512"/>
      <c r="M1" s="3512"/>
      <c r="N1" s="3512"/>
      <c r="O1" s="3512"/>
      <c r="P1" s="3512"/>
      <c r="Q1" s="3512"/>
      <c r="R1" s="3512"/>
      <c r="S1" s="3513"/>
      <c r="T1" s="2218" t="s">
        <v>2291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92" t="s">
        <v>2292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2915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2914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2913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2926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2293</v>
      </c>
      <c r="B17" s="2262" t="s">
        <v>2294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59" t="s">
        <v>819</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821</v>
      </c>
      <c r="B23" s="3193" t="s">
        <v>2934</v>
      </c>
      <c r="C23" s="17" t="s">
        <v>822</v>
      </c>
      <c r="D23" s="17" t="str">
        <f>B5</f>
        <v>修正项2</v>
      </c>
      <c r="E23" s="17" t="s">
        <v>822</v>
      </c>
      <c r="F23" s="17" t="str">
        <f>B7</f>
        <v>修正项3</v>
      </c>
      <c r="G23" s="17" t="s">
        <v>822</v>
      </c>
      <c r="H23" s="17" t="str">
        <f>B9</f>
        <v>修正项4</v>
      </c>
      <c r="I23" s="17" t="s">
        <v>822</v>
      </c>
      <c r="J23" s="17" t="str">
        <f>B11</f>
        <v>修正项5</v>
      </c>
      <c r="K23" s="17" t="s">
        <v>822</v>
      </c>
      <c r="L23" s="17" t="str">
        <f>B13</f>
        <v>修正项6</v>
      </c>
      <c r="M23" s="17" t="s">
        <v>822</v>
      </c>
      <c r="N23" s="17" t="str">
        <f>B15</f>
        <v>修正项7</v>
      </c>
      <c r="O23" s="17" t="s">
        <v>822</v>
      </c>
      <c r="P23" s="17" t="str">
        <f>B17</f>
        <v>楼层</v>
      </c>
      <c r="Q23" s="17" t="s">
        <v>822</v>
      </c>
      <c r="R23" s="491" t="s">
        <v>823</v>
      </c>
      <c r="S23" s="17" t="s">
        <v>824</v>
      </c>
      <c r="T23" s="18"/>
      <c r="U23" s="18"/>
      <c r="V23" s="18"/>
      <c r="W23" s="18"/>
      <c r="X23" s="18"/>
      <c r="Y23" s="18"/>
      <c r="Z23" s="18"/>
      <c r="AA23" s="18"/>
      <c r="AB23" s="18"/>
      <c r="AC23" s="18"/>
      <c r="AD23" s="18"/>
      <c r="AE23" s="18"/>
      <c r="AF23" s="18"/>
      <c r="AG23" s="18"/>
      <c r="AH23" s="18"/>
      <c r="AI23" s="18"/>
    </row>
    <row r="24" spans="1:45" s="1599" customFormat="1">
      <c r="A24" s="960" t="s">
        <v>825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2773</v>
      </c>
      <c r="C1" s="2958">
        <f>项目基本情况!D3</f>
        <v>43998</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2804</v>
      </c>
      <c r="C2" s="2959">
        <f>'数据-取费表'!B22</f>
        <v>2</v>
      </c>
      <c r="D2" s="2954" t="s">
        <v>2774</v>
      </c>
      <c r="E2" s="2957">
        <f ca="1">INDIRECT("I"&amp;$I$1)/100</f>
        <v>4.7500000000000001E-2</v>
      </c>
      <c r="G2" s="2894"/>
      <c r="H2" s="2894"/>
      <c r="I2" s="2894" t="s">
        <v>2775</v>
      </c>
      <c r="K2" s="2894"/>
      <c r="L2" s="2894"/>
      <c r="M2" s="2894"/>
      <c r="N2" s="2894" t="s">
        <v>2776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2806</v>
      </c>
      <c r="C3" s="2956">
        <f>'数据-取费表'!B19</f>
        <v>0</v>
      </c>
      <c r="D3" s="2954" t="s">
        <v>2774</v>
      </c>
      <c r="E3" s="2957">
        <f ca="1">INDIRECT("J"&amp;$J$1)/100</f>
        <v>0</v>
      </c>
      <c r="G3" s="2896" t="s">
        <v>2777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2805</v>
      </c>
      <c r="C4" s="2957">
        <f ca="1">N4/100</f>
        <v>1.4999999999999999E-2</v>
      </c>
      <c r="G4" s="2902" t="s">
        <v>2778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2779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2783</v>
      </c>
      <c r="C10" s="2921"/>
      <c r="D10" s="2921"/>
      <c r="E10" s="2921"/>
      <c r="F10" s="2921"/>
      <c r="G10" s="2921"/>
      <c r="H10" s="2921"/>
      <c r="I10" s="2895"/>
      <c r="J10" s="2895"/>
      <c r="K10" s="2921"/>
      <c r="L10" s="2922" t="s">
        <v>2784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2785</v>
      </c>
      <c r="C11" s="2926" t="s">
        <v>2786</v>
      </c>
      <c r="D11" s="2927" t="s">
        <v>2787</v>
      </c>
      <c r="E11" s="2928"/>
      <c r="F11" s="2927" t="s">
        <v>2788</v>
      </c>
      <c r="G11" s="2929"/>
      <c r="H11" s="2928"/>
      <c r="I11" s="2927" t="s">
        <v>2789</v>
      </c>
      <c r="J11" s="2928"/>
      <c r="K11" s="2924"/>
      <c r="L11" s="2925" t="s">
        <v>2785</v>
      </c>
      <c r="M11" s="2926" t="s">
        <v>2786</v>
      </c>
      <c r="N11" s="2925" t="s">
        <v>2790</v>
      </c>
      <c r="O11" s="2927" t="s">
        <v>2791</v>
      </c>
      <c r="P11" s="2929"/>
      <c r="Q11" s="2929"/>
      <c r="R11" s="2929"/>
      <c r="S11" s="2929"/>
      <c r="T11" s="2928"/>
      <c r="U11" s="2927" t="s">
        <v>2792</v>
      </c>
      <c r="V11" s="2929"/>
      <c r="W11" s="2928"/>
      <c r="X11" s="2925" t="s">
        <v>2793</v>
      </c>
      <c r="Y11" s="2925" t="s">
        <v>2794</v>
      </c>
      <c r="Z11" s="2925" t="s">
        <v>2795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2796</v>
      </c>
      <c r="E12" s="2934" t="s">
        <v>2797</v>
      </c>
      <c r="F12" s="2934" t="s">
        <v>2798</v>
      </c>
      <c r="G12" s="2934" t="s">
        <v>2799</v>
      </c>
      <c r="H12" s="2934" t="s">
        <v>2781</v>
      </c>
      <c r="I12" s="2935" t="s">
        <v>2800</v>
      </c>
      <c r="J12" s="2935" t="s">
        <v>2800</v>
      </c>
      <c r="K12" s="2931"/>
      <c r="L12" s="2932"/>
      <c r="M12" s="2933"/>
      <c r="N12" s="2932"/>
      <c r="O12" s="2935" t="s">
        <v>2801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2802</v>
      </c>
      <c r="C13" s="2939">
        <v>42301</v>
      </c>
      <c r="D13" s="2940">
        <v>4.3499999999999996</v>
      </c>
      <c r="E13" s="2940">
        <v>4.3499999999999996</v>
      </c>
      <c r="F13" s="2940">
        <v>4.75</v>
      </c>
      <c r="G13" s="2940">
        <v>4.75</v>
      </c>
      <c r="H13" s="2940">
        <v>4.9000000000000004</v>
      </c>
      <c r="I13" s="2940">
        <v>2.75</v>
      </c>
      <c r="J13" s="2940">
        <v>3.25</v>
      </c>
      <c r="K13" s="2937"/>
      <c r="L13" s="2938" t="s">
        <v>2802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2803</v>
      </c>
      <c r="Y42" s="2944" t="s">
        <v>2803</v>
      </c>
      <c r="Z42" s="2944" t="s">
        <v>2803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2803</v>
      </c>
      <c r="Y43" s="2944" t="s">
        <v>2803</v>
      </c>
      <c r="Z43" s="2944" t="s">
        <v>2803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2803</v>
      </c>
      <c r="Y44" s="2944" t="s">
        <v>2803</v>
      </c>
      <c r="Z44" s="2944" t="s">
        <v>2803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2803</v>
      </c>
      <c r="Y45" s="2944" t="s">
        <v>2803</v>
      </c>
      <c r="Z45" s="2944" t="s">
        <v>2803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2803</v>
      </c>
      <c r="Y46" s="2944" t="s">
        <v>2803</v>
      </c>
      <c r="Z46" s="2944" t="s">
        <v>2803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2803</v>
      </c>
      <c r="Y47" s="2944" t="s">
        <v>2803</v>
      </c>
      <c r="Z47" s="2944" t="s">
        <v>2803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2803</v>
      </c>
      <c r="Y48" s="2944" t="s">
        <v>2803</v>
      </c>
      <c r="Z48" s="2944" t="s">
        <v>2803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2803</v>
      </c>
      <c r="Y49" s="2944" t="s">
        <v>2803</v>
      </c>
      <c r="Z49" s="2944" t="s">
        <v>2803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2803</v>
      </c>
      <c r="Y50" s="2944" t="s">
        <v>2803</v>
      </c>
      <c r="Z50" s="2944" t="s">
        <v>2803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2803</v>
      </c>
      <c r="V51" s="2944" t="s">
        <v>2803</v>
      </c>
      <c r="W51" s="2944" t="s">
        <v>2803</v>
      </c>
      <c r="X51" s="2944" t="s">
        <v>2803</v>
      </c>
      <c r="Y51" s="2944" t="s">
        <v>2803</v>
      </c>
      <c r="Z51" s="2944" t="s">
        <v>2803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2803</v>
      </c>
      <c r="J55" s="2944" t="s">
        <v>2803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1714</v>
      </c>
      <c r="B1" s="738"/>
      <c r="C1" s="773" t="s">
        <v>3092</v>
      </c>
      <c r="D1" s="3070" t="s">
        <v>3122</v>
      </c>
      <c r="E1" s="2350" t="s">
        <v>2360</v>
      </c>
      <c r="F1" s="2351">
        <f ca="1">J53</f>
        <v>36.78</v>
      </c>
      <c r="G1" s="774">
        <f>MATCH(C1,'数据-取费表'!A6:A16,0)+5</f>
        <v>10</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1715</v>
      </c>
      <c r="B2" s="775">
        <f ca="1">C40+J29+L46</f>
        <v>3382</v>
      </c>
      <c r="C2" s="2041"/>
      <c r="D2" s="2039"/>
      <c r="E2" s="2040"/>
      <c r="F2" s="2040"/>
      <c r="G2" s="1575"/>
      <c r="H2" s="2041"/>
      <c r="I2" s="2041"/>
      <c r="J2" s="2041"/>
      <c r="K2" s="2042"/>
      <c r="L2" s="2041"/>
      <c r="M2" s="2041"/>
    </row>
    <row r="3" spans="1:33" ht="18" customHeight="1" thickBot="1">
      <c r="A3" s="833" t="s">
        <v>1716</v>
      </c>
      <c r="B3" s="834">
        <f ca="1">IF(ISERROR(B2*10000/F43),0,ROUND(B2*10000/F43,0))</f>
        <v>881</v>
      </c>
      <c r="C3" s="2041"/>
      <c r="D3" s="2039"/>
      <c r="E3" s="2040"/>
      <c r="F3" s="2040"/>
      <c r="G3" s="1575"/>
      <c r="H3" s="776" t="s">
        <v>686</v>
      </c>
      <c r="I3" s="1358"/>
      <c r="J3" s="1358"/>
      <c r="K3" s="1576"/>
      <c r="L3" s="1358"/>
      <c r="M3" s="1358"/>
    </row>
    <row r="4" spans="1:33" ht="18" customHeight="1">
      <c r="A4" s="777" t="s">
        <v>1717</v>
      </c>
      <c r="B4" s="778" t="s">
        <v>1718</v>
      </c>
      <c r="C4" s="778" t="s">
        <v>1719</v>
      </c>
      <c r="D4" s="778" t="s">
        <v>624</v>
      </c>
      <c r="E4" s="779" t="s">
        <v>1720</v>
      </c>
      <c r="F4" s="780"/>
      <c r="G4" s="1577"/>
      <c r="H4" s="777" t="s">
        <v>1721</v>
      </c>
      <c r="I4" s="778" t="s">
        <v>622</v>
      </c>
      <c r="J4" s="778" t="s">
        <v>1723</v>
      </c>
      <c r="K4" s="778" t="s">
        <v>1724</v>
      </c>
      <c r="L4" s="779" t="s">
        <v>1725</v>
      </c>
      <c r="M4" s="780"/>
    </row>
    <row r="5" spans="1:33" ht="18" customHeight="1">
      <c r="A5" s="781">
        <v>1</v>
      </c>
      <c r="B5" s="782" t="s">
        <v>2444</v>
      </c>
      <c r="C5" s="55">
        <f ca="1">C6+C10+C12</f>
        <v>469</v>
      </c>
      <c r="D5" s="2459" t="s">
        <v>2447</v>
      </c>
      <c r="E5" s="2453"/>
      <c r="F5" s="2454"/>
      <c r="G5" s="1577"/>
      <c r="H5" s="781">
        <v>1</v>
      </c>
      <c r="I5" s="782" t="s">
        <v>2444</v>
      </c>
      <c r="J5" s="55">
        <f ca="1">J6+J10+J12</f>
        <v>0</v>
      </c>
      <c r="K5" s="2459" t="s">
        <v>2447</v>
      </c>
      <c r="L5" s="2453"/>
      <c r="M5" s="2454"/>
    </row>
    <row r="6" spans="1:33" ht="18" customHeight="1">
      <c r="A6" s="1814" t="s">
        <v>1813</v>
      </c>
      <c r="B6" s="3472" t="s">
        <v>2449</v>
      </c>
      <c r="C6" s="783">
        <f ca="1">ROUND(F6*F8*F7*(1-F9)/10000,0)</f>
        <v>468</v>
      </c>
      <c r="D6" s="2460" t="s">
        <v>2448</v>
      </c>
      <c r="E6" s="784" t="s">
        <v>1727</v>
      </c>
      <c r="F6" s="785">
        <f ca="1">INDIRECT("'数据-取费表'!u"&amp;$G$1)</f>
        <v>400</v>
      </c>
      <c r="G6" s="1577"/>
      <c r="H6" s="2467" t="s">
        <v>2454</v>
      </c>
      <c r="I6" s="3472" t="s">
        <v>2449</v>
      </c>
      <c r="J6" s="783">
        <f ca="1">ROUND(M6*M8*M7*(1-M9)/10000,0)</f>
        <v>0</v>
      </c>
      <c r="K6" s="341" t="s">
        <v>627</v>
      </c>
      <c r="L6" s="784" t="s">
        <v>1727</v>
      </c>
      <c r="M6" s="785">
        <f ca="1">INDIRECT("'数据-取费表'!z"&amp;$G$1)</f>
        <v>0</v>
      </c>
    </row>
    <row r="7" spans="1:33" ht="18" customHeight="1">
      <c r="A7" s="2463"/>
      <c r="B7" s="3473"/>
      <c r="C7" s="788"/>
      <c r="D7" s="789"/>
      <c r="E7" s="784" t="s">
        <v>1728</v>
      </c>
      <c r="F7" s="785">
        <f ca="1">IF(INDIRECT("'数据-取费表'!ah"&amp;$G$1)="",INDIRECT("'数据-取费表'!k"&amp;$G$1),INDIRECT("'数据-取费表'!ah"&amp;$G$1))</f>
        <v>1146</v>
      </c>
      <c r="G7" s="1577"/>
      <c r="H7" s="2452"/>
      <c r="I7" s="3473"/>
      <c r="J7" s="788"/>
      <c r="K7" s="789"/>
      <c r="L7" s="784" t="s">
        <v>1728</v>
      </c>
      <c r="M7" s="785">
        <f ca="1">F7</f>
        <v>1146</v>
      </c>
    </row>
    <row r="8" spans="1:33" ht="18" customHeight="1">
      <c r="A8" s="2456"/>
      <c r="B8" s="3474"/>
      <c r="C8" s="788"/>
      <c r="D8" s="789"/>
      <c r="E8" s="784" t="s">
        <v>630</v>
      </c>
      <c r="F8" s="785">
        <f ca="1">INDIRECT("'数据-取费表'!ai"&amp;$G$1)</f>
        <v>12</v>
      </c>
      <c r="G8" s="1577"/>
      <c r="H8" s="2452"/>
      <c r="I8" s="3474"/>
      <c r="J8" s="788"/>
      <c r="K8" s="789"/>
      <c r="L8" s="784" t="s">
        <v>630</v>
      </c>
      <c r="M8" s="785">
        <f ca="1">INDIRECT("'数据-取费表'!ai"&amp;$G$1)</f>
        <v>12</v>
      </c>
    </row>
    <row r="9" spans="1:33" ht="18" customHeight="1">
      <c r="A9" s="786"/>
      <c r="B9" s="3475"/>
      <c r="C9" s="788"/>
      <c r="D9" s="789"/>
      <c r="E9" s="784" t="s">
        <v>1730</v>
      </c>
      <c r="F9" s="794">
        <f ca="1">INDIRECT("'数据-取费表'!w"&amp;$G$1)</f>
        <v>0.15</v>
      </c>
      <c r="G9" s="1577"/>
      <c r="H9" s="2468"/>
      <c r="I9" s="3474"/>
      <c r="J9" s="788"/>
      <c r="K9" s="789"/>
      <c r="L9" s="795" t="s">
        <v>1730</v>
      </c>
      <c r="M9" s="796">
        <f ca="1">INDIRECT("'数据-取费表'!ab"&amp;$G$1)</f>
        <v>0</v>
      </c>
    </row>
    <row r="10" spans="1:33" ht="18" customHeight="1">
      <c r="A10" s="1814" t="s">
        <v>2452</v>
      </c>
      <c r="B10" s="2457" t="s">
        <v>2445</v>
      </c>
      <c r="C10" s="799">
        <f ca="1">ROUND(IF(F10="押一",C6/12*F11,IF(F10="押二",C6/12*2*F11,IF(F10="押三",C6/12*3*F11,C11*F11))),0)</f>
        <v>1</v>
      </c>
      <c r="D10" s="2464" t="s">
        <v>2960</v>
      </c>
      <c r="E10" s="2461" t="s">
        <v>2450</v>
      </c>
      <c r="F10" s="2584" t="s">
        <v>3119</v>
      </c>
      <c r="G10" s="1577"/>
      <c r="H10" s="2524" t="s">
        <v>2452</v>
      </c>
      <c r="I10" s="2529" t="s">
        <v>2445</v>
      </c>
      <c r="J10" s="783">
        <f ca="1">ROUND(IF(M10="押一",J6/12*M11,IF(M10="押二",J6/12*2*M11,IF(M10="押三",J6/12*3*M11,J11*M11))),0)</f>
        <v>0</v>
      </c>
      <c r="K10" s="2464" t="s">
        <v>2960</v>
      </c>
      <c r="L10" s="2461" t="s">
        <v>2450</v>
      </c>
      <c r="M10" s="2584"/>
    </row>
    <row r="11" spans="1:33" ht="18" customHeight="1">
      <c r="A11" s="790"/>
      <c r="B11" s="2458" t="s">
        <v>2559</v>
      </c>
      <c r="C11" s="2462"/>
      <c r="D11" s="789"/>
      <c r="E11" s="2461" t="s">
        <v>2451</v>
      </c>
      <c r="F11" s="796">
        <f ca="1">'数据-取费表'!B39</f>
        <v>1.4999999999999999E-2</v>
      </c>
      <c r="G11" s="1577"/>
      <c r="H11" s="2525"/>
      <c r="I11" s="2458" t="s">
        <v>2559</v>
      </c>
      <c r="J11" s="2462"/>
      <c r="K11" s="2526"/>
      <c r="L11" s="2461" t="s">
        <v>2451</v>
      </c>
      <c r="M11" s="2455">
        <f ca="1">'数据-取费表'!B39</f>
        <v>1.4999999999999999E-2</v>
      </c>
    </row>
    <row r="12" spans="1:33" ht="18" customHeight="1" thickBot="1">
      <c r="A12" s="2500" t="s">
        <v>2453</v>
      </c>
      <c r="B12" s="2501" t="s">
        <v>2446</v>
      </c>
      <c r="C12" s="2502"/>
      <c r="D12" s="2503"/>
      <c r="E12" s="2504"/>
      <c r="F12" s="2505"/>
      <c r="G12" s="1577"/>
      <c r="H12" s="2514" t="s">
        <v>2456</v>
      </c>
      <c r="I12" s="2527" t="s">
        <v>2446</v>
      </c>
      <c r="J12" s="2528"/>
      <c r="K12" s="2503"/>
      <c r="L12" s="2504"/>
      <c r="M12" s="2517"/>
    </row>
    <row r="13" spans="1:33" ht="18" customHeight="1" thickTop="1">
      <c r="A13" s="1813">
        <v>2</v>
      </c>
      <c r="B13" s="1811" t="s">
        <v>1731</v>
      </c>
      <c r="C13" s="792">
        <f ca="1">ROUND(C29*F13,0)</f>
        <v>14483</v>
      </c>
      <c r="D13" s="1818" t="s">
        <v>2283</v>
      </c>
      <c r="E13" s="1818" t="s">
        <v>1733</v>
      </c>
      <c r="F13" s="2499">
        <f ca="1">INDIRECT("'数据-取费表'!y"&amp;$G$1)</f>
        <v>1</v>
      </c>
      <c r="G13" s="1577"/>
      <c r="H13" s="1813">
        <v>2</v>
      </c>
      <c r="I13" s="1811" t="s">
        <v>1731</v>
      </c>
      <c r="J13" s="1803">
        <f ca="1">ROUND(J14*J15,0)</f>
        <v>0</v>
      </c>
      <c r="K13" s="1805" t="s">
        <v>1732</v>
      </c>
      <c r="L13" s="2515"/>
      <c r="M13" s="2516"/>
    </row>
    <row r="14" spans="1:33" ht="18" customHeight="1">
      <c r="A14" s="1632" t="s">
        <v>1873</v>
      </c>
      <c r="B14" s="784" t="s">
        <v>636</v>
      </c>
      <c r="C14" s="804">
        <f ca="1">INDIRECT("'数据-取费表'!m"&amp;$G$1)+INDIRECT("'数据-取费表'!t"&amp;$G$1)</f>
        <v>10577</v>
      </c>
      <c r="D14" s="3188" t="s">
        <v>1734</v>
      </c>
      <c r="E14" s="3187"/>
      <c r="F14" s="805"/>
      <c r="G14" s="1577"/>
      <c r="H14" s="1633" t="s">
        <v>1813</v>
      </c>
      <c r="I14" s="2215" t="s">
        <v>2810</v>
      </c>
      <c r="J14" s="53">
        <f ca="1">C29</f>
        <v>14483</v>
      </c>
      <c r="K14" s="26"/>
      <c r="L14" s="801"/>
      <c r="M14" s="802"/>
    </row>
    <row r="15" spans="1:33" s="2048" customFormat="1" ht="18" customHeight="1" thickBot="1">
      <c r="A15" s="1632" t="s">
        <v>1874</v>
      </c>
      <c r="B15" s="784" t="s">
        <v>638</v>
      </c>
      <c r="C15" s="53">
        <f ca="1">ROUND(C14*F15,0)</f>
        <v>317</v>
      </c>
      <c r="D15" s="806" t="s">
        <v>1735</v>
      </c>
      <c r="E15" s="806" t="s">
        <v>640</v>
      </c>
      <c r="F15" s="807">
        <f>'数据-取费表'!B33</f>
        <v>0.03</v>
      </c>
      <c r="G15" s="1578"/>
      <c r="H15" s="2514" t="s">
        <v>1878</v>
      </c>
      <c r="I15" s="2509" t="s">
        <v>1733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1875</v>
      </c>
      <c r="B16" s="784" t="s">
        <v>641</v>
      </c>
      <c r="C16" s="53">
        <f ca="1">ROUND(INDIRECT("'数据-取费表'!m"&amp;$G$1)*F16,0)</f>
        <v>0</v>
      </c>
      <c r="D16" s="784" t="s">
        <v>1735</v>
      </c>
      <c r="E16" s="784" t="s">
        <v>640</v>
      </c>
      <c r="F16" s="809">
        <f ca="1">IF(INDIRECT("'数据-取费表'!c"&amp;$G$1)="住宅",'数据-取费表'!B34,0)</f>
        <v>0</v>
      </c>
      <c r="G16" s="1577"/>
      <c r="H16" s="1813" t="s">
        <v>7</v>
      </c>
      <c r="I16" s="1811" t="s">
        <v>1738</v>
      </c>
      <c r="J16" s="792">
        <f ca="1">ROUND(J17+J22+J23+J24,0)</f>
        <v>1453</v>
      </c>
      <c r="K16" s="1805" t="s">
        <v>643</v>
      </c>
      <c r="L16" s="3190"/>
      <c r="M16" s="2454"/>
    </row>
    <row r="17" spans="1:33" s="2048" customFormat="1" ht="18" customHeight="1">
      <c r="A17" s="1632" t="s">
        <v>1876</v>
      </c>
      <c r="B17" s="784" t="s">
        <v>644</v>
      </c>
      <c r="C17" s="53">
        <f ca="1">ROUND(F17*(F43+INDIRECT("'数据-取费表'!S"&amp;$G$1))/10000,0)</f>
        <v>910</v>
      </c>
      <c r="D17" s="784" t="s">
        <v>645</v>
      </c>
      <c r="E17" s="784" t="s">
        <v>1741</v>
      </c>
      <c r="F17" s="56">
        <f>'数据-取费表'!B35</f>
        <v>200</v>
      </c>
      <c r="G17" s="1578"/>
      <c r="H17" s="1633" t="s">
        <v>1813</v>
      </c>
      <c r="I17" s="784" t="s">
        <v>647</v>
      </c>
      <c r="J17" s="53">
        <f ca="1">ROUND(IF(项目基本情况!B11="自然人",J6*M17/(1+'数据-取费表'!C42),J18+J19+J20),0)</f>
        <v>1236</v>
      </c>
      <c r="K17" s="3188" t="s">
        <v>1742</v>
      </c>
      <c r="L17" s="3189" t="s">
        <v>649</v>
      </c>
      <c r="M17" s="810">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1877</v>
      </c>
      <c r="B18" s="784" t="s">
        <v>650</v>
      </c>
      <c r="C18" s="53">
        <f ca="1">ROUND(C14*F18,0)</f>
        <v>159</v>
      </c>
      <c r="D18" s="784" t="s">
        <v>1735</v>
      </c>
      <c r="E18" s="784" t="s">
        <v>640</v>
      </c>
      <c r="F18" s="809">
        <f>'数据-取费表'!B36</f>
        <v>1.4999999999999999E-2</v>
      </c>
      <c r="G18" s="1578"/>
      <c r="H18" s="1632" t="s">
        <v>1873</v>
      </c>
      <c r="I18" s="784" t="s">
        <v>1744</v>
      </c>
      <c r="J18" s="53">
        <f ca="1">ROUND(J6*M18/(1+'数据-取费表'!C42),1)</f>
        <v>0</v>
      </c>
      <c r="K18" s="3189" t="s">
        <v>1745</v>
      </c>
      <c r="L18" s="784" t="s">
        <v>640</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1813</v>
      </c>
      <c r="B19" s="784" t="s">
        <v>653</v>
      </c>
      <c r="C19" s="53">
        <f ca="1">SUM(C14:C18)</f>
        <v>11963</v>
      </c>
      <c r="D19" s="261" t="s">
        <v>654</v>
      </c>
      <c r="E19" s="3191"/>
      <c r="F19" s="56"/>
      <c r="G19" s="1577"/>
      <c r="H19" s="1632" t="s">
        <v>1874</v>
      </c>
      <c r="I19" s="784" t="s">
        <v>655</v>
      </c>
      <c r="J19" s="53">
        <f ca="1">IF(K19="按租金收入计税",ROUND(J6*M19/(1+'数据-取费表'!C42),1),ROUND(C29*F33*0.7,1))</f>
        <v>1216.5999999999999</v>
      </c>
      <c r="K19" s="811" t="s">
        <v>656</v>
      </c>
      <c r="L19" s="784" t="s">
        <v>640</v>
      </c>
      <c r="M19" s="809">
        <f>IF(K19="按租金收入计税",'数据-取费表'!B51,'数据-取费表'!B50)</f>
        <v>1.2E-2</v>
      </c>
    </row>
    <row r="20" spans="1:33" s="2048" customFormat="1" ht="18" customHeight="1">
      <c r="A20" s="1633" t="s">
        <v>1878</v>
      </c>
      <c r="B20" s="784" t="s">
        <v>657</v>
      </c>
      <c r="C20" s="53">
        <f ca="1">ROUND(C19*F20,0)</f>
        <v>239</v>
      </c>
      <c r="D20" s="812" t="s">
        <v>658</v>
      </c>
      <c r="E20" s="784" t="s">
        <v>640</v>
      </c>
      <c r="F20" s="809">
        <f>'数据-取费表'!B37</f>
        <v>0.02</v>
      </c>
      <c r="G20" s="1578"/>
      <c r="H20" s="1635" t="s">
        <v>1869</v>
      </c>
      <c r="I20" s="341" t="s">
        <v>1749</v>
      </c>
      <c r="J20" s="54">
        <f ca="1">ROUND(M20*M21/10000,0)</f>
        <v>19</v>
      </c>
      <c r="K20" s="814" t="s">
        <v>1750</v>
      </c>
      <c r="L20" s="784" t="s">
        <v>1751</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1879</v>
      </c>
      <c r="B21" s="784" t="s">
        <v>662</v>
      </c>
      <c r="C21" s="53" t="s">
        <v>1753</v>
      </c>
      <c r="D21" s="812" t="s">
        <v>2284</v>
      </c>
      <c r="E21" s="784" t="s">
        <v>1754</v>
      </c>
      <c r="F21" s="809">
        <f>'数据-取费表'!B38</f>
        <v>0.02</v>
      </c>
      <c r="G21" s="1578"/>
      <c r="H21" s="2469"/>
      <c r="I21" s="793"/>
      <c r="J21" s="69"/>
      <c r="K21" s="816"/>
      <c r="L21" s="784" t="s">
        <v>1755</v>
      </c>
      <c r="M21" s="785">
        <f ca="1">INDIRECT("'数据-取费表'!r"&amp;$G$1)</f>
        <v>16046.5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1880</v>
      </c>
      <c r="B22" s="784" t="s">
        <v>1756</v>
      </c>
      <c r="C22" s="53"/>
      <c r="D22" s="2535" t="str">
        <f>IF(F23&lt;=1,"单利计息。","复利计息。")&amp;"建造成本、管理费用、销售费用产生的利息。"</f>
        <v>复利计息。建造成本、管理费用、销售费用产生的利息。</v>
      </c>
      <c r="E22" s="3191"/>
      <c r="F22" s="56"/>
      <c r="G22" s="1577"/>
      <c r="H22" s="1633" t="s">
        <v>1878</v>
      </c>
      <c r="I22" s="784" t="s">
        <v>1757</v>
      </c>
      <c r="J22" s="53">
        <f ca="1">ROUND(J14*M22,0)</f>
        <v>217</v>
      </c>
      <c r="K22" s="3189" t="s">
        <v>1758</v>
      </c>
      <c r="L22" s="784" t="s">
        <v>640</v>
      </c>
      <c r="M22" s="817">
        <f ca="1">INDIRECT("'数据-取费表'!Ak"&amp;$G$1)</f>
        <v>1.4999999999999999E-2</v>
      </c>
    </row>
    <row r="23" spans="1:33" s="2048" customFormat="1" ht="18" customHeight="1">
      <c r="A23" s="1632" t="s">
        <v>1820</v>
      </c>
      <c r="B23" s="784" t="s">
        <v>2521</v>
      </c>
      <c r="C23" s="53">
        <f ca="1">ROUND(IF('数据-取费表'!B22&lt;=1,(C19+C20)*F24*F23/2,(C19+C20)*(POWER((1+F24),F23/2)-1)),0)</f>
        <v>580</v>
      </c>
      <c r="D23" s="2534" t="str">
        <f>IF(F23&lt;=1,"(建造成本+管理费用)×利率×(建设周期÷2)","(建造成本+管理费用)×((1+利率)^(建设周期÷2)-1)")</f>
        <v>(建造成本+管理费用)×((1+利率)^(建设周期÷2)-1)</v>
      </c>
      <c r="E23" s="784" t="s">
        <v>1759</v>
      </c>
      <c r="F23" s="640">
        <f>'数据-取费表'!B20</f>
        <v>2</v>
      </c>
      <c r="G23" s="1578"/>
      <c r="H23" s="1633" t="s">
        <v>1879</v>
      </c>
      <c r="I23" s="784" t="s">
        <v>670</v>
      </c>
      <c r="J23" s="53">
        <f ca="1">ROUND(J13*M23,0)</f>
        <v>0</v>
      </c>
      <c r="K23" s="3189" t="s">
        <v>1760</v>
      </c>
      <c r="L23" s="784" t="s">
        <v>640</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1821</v>
      </c>
      <c r="B24" s="784" t="s">
        <v>672</v>
      </c>
      <c r="C24" s="53">
        <f ca="1">ROUND(IF('数据-取费表'!B22&lt;=1,F21*F24*F23/2,F21*(POWER((1+F24),F23/2)-1)),4)</f>
        <v>1E-3</v>
      </c>
      <c r="D24" s="2534" t="str">
        <f>IF(F23&lt;=1,"销售费用×利率×(建设周期÷2)","销售费用×((1+利率)^(建设周期÷2)-1)")</f>
        <v>销售费用×((1+利率)^(建设周期÷2)-1)</v>
      </c>
      <c r="E24" s="784" t="s">
        <v>1762</v>
      </c>
      <c r="F24" s="819">
        <f ca="1">'数据-取费表'!B40</f>
        <v>4.7500000000000001E-2</v>
      </c>
      <c r="G24" s="1578"/>
      <c r="H24" s="2514" t="s">
        <v>1880</v>
      </c>
      <c r="I24" s="2509" t="s">
        <v>657</v>
      </c>
      <c r="J24" s="2507">
        <f ca="1">ROUND(J5*M24,0)</f>
        <v>0</v>
      </c>
      <c r="K24" s="2508" t="s">
        <v>1763</v>
      </c>
      <c r="L24" s="2509" t="s">
        <v>640</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1829</v>
      </c>
      <c r="B25" s="784" t="s">
        <v>675</v>
      </c>
      <c r="C25" s="53"/>
      <c r="D25" s="261" t="s">
        <v>1764</v>
      </c>
      <c r="E25" s="3191"/>
      <c r="F25" s="56"/>
      <c r="G25" s="1577"/>
      <c r="H25" s="1813" t="s">
        <v>1765</v>
      </c>
      <c r="I25" s="2961" t="s">
        <v>2807</v>
      </c>
      <c r="J25" s="792">
        <f ca="1">J5-J16</f>
        <v>-1453</v>
      </c>
      <c r="K25" s="2511" t="s">
        <v>691</v>
      </c>
      <c r="L25" s="2512"/>
      <c r="M25" s="2513"/>
    </row>
    <row r="26" spans="1:33" ht="18" customHeight="1">
      <c r="A26" s="1632" t="s">
        <v>1820</v>
      </c>
      <c r="B26" s="784" t="s">
        <v>2424</v>
      </c>
      <c r="C26" s="53">
        <f ca="1">ROUND((C19+C20)*F26,0)</f>
        <v>610</v>
      </c>
      <c r="D26" s="812" t="s">
        <v>1767</v>
      </c>
      <c r="E26" s="795" t="s">
        <v>1768</v>
      </c>
      <c r="F26" s="794">
        <f ca="1">INDIRECT("'数据-取费表'!q"&amp;$G$1)</f>
        <v>0.05</v>
      </c>
      <c r="G26" s="1577"/>
      <c r="H26" s="2465" t="s">
        <v>1769</v>
      </c>
      <c r="I26" s="2216" t="s">
        <v>2812</v>
      </c>
      <c r="J26" s="783">
        <f ca="1">IF(J5&lt;&gt;0,ROUND(J25*(1-((1+M28)/(1+M26))^M27)/(M26-M28),0),0)</f>
        <v>0</v>
      </c>
      <c r="K26" s="814" t="s">
        <v>1770</v>
      </c>
      <c r="L26" s="784" t="s">
        <v>2405</v>
      </c>
      <c r="M26" s="794">
        <f ca="1">INDIRECT("'数据-取费表'!I"&amp;$G$1)</f>
        <v>4.4999999999999998E-2</v>
      </c>
    </row>
    <row r="27" spans="1:33" ht="18" customHeight="1">
      <c r="A27" s="1632" t="s">
        <v>1821</v>
      </c>
      <c r="B27" s="784" t="s">
        <v>677</v>
      </c>
      <c r="C27" s="53">
        <f ca="1">ROUND(F21*F26,4)</f>
        <v>1E-3</v>
      </c>
      <c r="D27" s="812" t="s">
        <v>1771</v>
      </c>
      <c r="E27" s="806"/>
      <c r="F27" s="807"/>
      <c r="G27" s="1577"/>
      <c r="H27" s="2466"/>
      <c r="I27" s="787"/>
      <c r="J27" s="788"/>
      <c r="K27" s="821" t="s">
        <v>698</v>
      </c>
      <c r="L27" s="784" t="s">
        <v>1773</v>
      </c>
      <c r="M27" s="822">
        <f ca="1">INDIRECT("'数据-取费表'!ag"&amp;$G$1)</f>
        <v>0</v>
      </c>
    </row>
    <row r="28" spans="1:33" s="2048" customFormat="1" ht="18" customHeight="1">
      <c r="A28" s="1634" t="s">
        <v>1830</v>
      </c>
      <c r="B28" s="784" t="s">
        <v>678</v>
      </c>
      <c r="C28" s="53">
        <f>ROUND(F28/(1+'数据-取费表'!C42),4)</f>
        <v>5.33E-2</v>
      </c>
      <c r="D28" s="812" t="s">
        <v>2285</v>
      </c>
      <c r="E28" s="784" t="s">
        <v>1774</v>
      </c>
      <c r="F28" s="809">
        <f>'数据-取费表'!B41</f>
        <v>5.6000000000000001E-2</v>
      </c>
      <c r="G28" s="1578"/>
      <c r="H28" s="1813"/>
      <c r="I28" s="791"/>
      <c r="J28" s="792"/>
      <c r="K28" s="816"/>
      <c r="L28" s="784" t="s">
        <v>701</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1881</v>
      </c>
      <c r="B29" s="2504" t="s">
        <v>2286</v>
      </c>
      <c r="C29" s="2507">
        <f ca="1">ROUND((C19+C20+C23+C26)/(1-F21-C24-C27-C28),0)</f>
        <v>14483</v>
      </c>
      <c r="D29" s="2508"/>
      <c r="E29" s="2509"/>
      <c r="F29" s="2510"/>
      <c r="G29" s="1578"/>
      <c r="H29" s="823" t="s">
        <v>1776</v>
      </c>
      <c r="I29" s="824" t="s">
        <v>1777</v>
      </c>
      <c r="J29" s="825">
        <f ca="1">ROUND(J26/(1+F40)^F41,0)</f>
        <v>0</v>
      </c>
      <c r="K29" s="826" t="s">
        <v>1778</v>
      </c>
      <c r="L29" s="827"/>
      <c r="M29" s="828">
        <f ca="1">INDIRECT("'数据-取费表'!k"&amp;$G$1)</f>
        <v>38387.129999999997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1882</v>
      </c>
      <c r="B30" s="1811" t="s">
        <v>1779</v>
      </c>
      <c r="C30" s="792">
        <f ca="1">ROUND(C31+C36+C37+C38,0)</f>
        <v>346</v>
      </c>
      <c r="D30" s="1805" t="s">
        <v>1780</v>
      </c>
      <c r="E30" s="3190"/>
      <c r="F30" s="2454"/>
      <c r="G30" s="2046"/>
      <c r="H30" s="2049"/>
      <c r="I30" s="2050"/>
      <c r="J30" s="2051"/>
      <c r="K30" s="2052"/>
      <c r="L30" s="2053"/>
      <c r="M30" s="2054"/>
    </row>
    <row r="31" spans="1:33" ht="18" customHeight="1">
      <c r="A31" s="1633" t="s">
        <v>1813</v>
      </c>
      <c r="B31" s="784" t="s">
        <v>647</v>
      </c>
      <c r="C31" s="53">
        <f ca="1">ROUND(IF(项目基本情况!B11="自然人",C6*F31/(1+'数据-取费表'!C42),C32+C33+C34),1)</f>
        <v>97.8</v>
      </c>
      <c r="D31" s="3188" t="s">
        <v>1781</v>
      </c>
      <c r="E31" s="3189" t="s">
        <v>1782</v>
      </c>
      <c r="F31" s="810">
        <f ca="1">IF(项目基本情况!B11="企业","",IF(INDIRECT("'数据-取费表'!c"&amp;$G$1)="住宅",5%,IF(F6*F7*F8/12/(1+'数据-取费表'!C42)&gt;20000,12%,7%)))</f>
        <v>0.12</v>
      </c>
      <c r="G31" s="2046"/>
      <c r="H31" s="2049"/>
      <c r="I31" s="2050"/>
      <c r="J31" s="2051"/>
      <c r="K31" s="2052"/>
      <c r="L31" s="2053"/>
      <c r="M31" s="2054"/>
    </row>
    <row r="32" spans="1:33" ht="18" customHeight="1">
      <c r="A32" s="1632" t="s">
        <v>1820</v>
      </c>
      <c r="B32" s="784" t="s">
        <v>1783</v>
      </c>
      <c r="C32" s="53">
        <f ca="1">ROUND(C6*F32/(1+'数据-取费表'!C42),1)</f>
        <v>25</v>
      </c>
      <c r="D32" s="3189" t="s">
        <v>1745</v>
      </c>
      <c r="E32" s="784" t="s">
        <v>1785</v>
      </c>
      <c r="F32" s="809">
        <f>'数据-取费表'!B41</f>
        <v>5.6000000000000001E-2</v>
      </c>
      <c r="G32" s="2046"/>
      <c r="H32" s="2055"/>
      <c r="I32" s="2056"/>
      <c r="J32" s="2057"/>
      <c r="K32" s="2058"/>
      <c r="L32" s="2059"/>
      <c r="M32" s="2060"/>
    </row>
    <row r="33" spans="1:18" ht="18" customHeight="1">
      <c r="A33" s="1632" t="s">
        <v>1821</v>
      </c>
      <c r="B33" s="784" t="s">
        <v>655</v>
      </c>
      <c r="C33" s="53">
        <f ca="1">IF(D33="按租金收入计税",ROUND(C6*F33/(1+'数据-取费表'!C42),1),IF(D33="按房产原值计税",ROUND(C29*F33*0.7,1),INDIRECT("'数据-取费表'!Aj"&amp;$G$1)))</f>
        <v>53.5</v>
      </c>
      <c r="D33" s="811" t="s">
        <v>3120</v>
      </c>
      <c r="E33" s="784" t="s">
        <v>1785</v>
      </c>
      <c r="F33" s="809">
        <f>IF(D33="按租金收入计税",'数据-取费表'!B51,'数据-取费表'!B50)</f>
        <v>0.12</v>
      </c>
      <c r="G33" s="2046"/>
      <c r="H33" s="2061"/>
      <c r="I33" s="2061"/>
      <c r="J33" s="2061"/>
      <c r="K33" s="2062"/>
      <c r="L33" s="2061"/>
      <c r="M33" s="2061"/>
    </row>
    <row r="34" spans="1:18" ht="18" customHeight="1">
      <c r="A34" s="1635" t="s">
        <v>1822</v>
      </c>
      <c r="B34" s="341" t="s">
        <v>1787</v>
      </c>
      <c r="C34" s="54">
        <f ca="1">ROUND(F34*F35/10000,1)</f>
        <v>19.3</v>
      </c>
      <c r="D34" s="814" t="s">
        <v>1788</v>
      </c>
      <c r="E34" s="784" t="s">
        <v>1789</v>
      </c>
      <c r="F34" s="640">
        <f>'数据-取费表'!B52</f>
        <v>12</v>
      </c>
      <c r="G34" s="2046"/>
      <c r="H34" s="2049"/>
      <c r="I34" s="835" t="s">
        <v>1802</v>
      </c>
      <c r="J34" s="836"/>
      <c r="K34" s="2064"/>
      <c r="L34" s="2063"/>
      <c r="M34" s="2063"/>
    </row>
    <row r="35" spans="1:18" ht="18" customHeight="1">
      <c r="A35" s="815"/>
      <c r="B35" s="793"/>
      <c r="C35" s="69"/>
      <c r="D35" s="816"/>
      <c r="E35" s="784" t="s">
        <v>1790</v>
      </c>
      <c r="F35" s="785">
        <f ca="1">INDIRECT("'数据-取费表'!r"&amp;$G$1)</f>
        <v>16046.5</v>
      </c>
      <c r="G35" s="2046"/>
      <c r="H35" s="2049"/>
      <c r="I35" s="837" t="s">
        <v>1803</v>
      </c>
      <c r="J35" s="838">
        <f ca="1">ROUND(C13*J36,0)</f>
        <v>1231</v>
      </c>
      <c r="K35" s="2062"/>
      <c r="L35" s="2061"/>
      <c r="M35" s="2061"/>
    </row>
    <row r="36" spans="1:18" ht="18" customHeight="1">
      <c r="A36" s="1633" t="s">
        <v>1878</v>
      </c>
      <c r="B36" s="784" t="s">
        <v>1791</v>
      </c>
      <c r="C36" s="53">
        <f ca="1">ROUND(C29*F36,1)</f>
        <v>217.2</v>
      </c>
      <c r="D36" s="3189" t="s">
        <v>1792</v>
      </c>
      <c r="E36" s="784" t="s">
        <v>1785</v>
      </c>
      <c r="F36" s="817">
        <f ca="1">INDIRECT("'数据-取费表'!Ak"&amp;$G$1)</f>
        <v>1.4999999999999999E-2</v>
      </c>
      <c r="G36" s="2046"/>
      <c r="H36" s="2061"/>
      <c r="I36" s="839" t="s">
        <v>1804</v>
      </c>
      <c r="J36" s="840">
        <f ca="1">INDIRECT("'数据-取费表'!j"&amp;$G$1)</f>
        <v>8.5000000000000006E-2</v>
      </c>
      <c r="K36" s="2066"/>
      <c r="L36" s="2061"/>
      <c r="M36" s="2061"/>
    </row>
    <row r="37" spans="1:18" ht="18" customHeight="1">
      <c r="A37" s="1633" t="s">
        <v>1879</v>
      </c>
      <c r="B37" s="784" t="s">
        <v>670</v>
      </c>
      <c r="C37" s="53">
        <f ca="1">ROUND(C13*F37,1)</f>
        <v>21.7</v>
      </c>
      <c r="D37" s="3189" t="s">
        <v>671</v>
      </c>
      <c r="E37" s="784" t="s">
        <v>1785</v>
      </c>
      <c r="F37" s="818">
        <f ca="1">INDIRECT("'数据-取费表'!Al"&amp;$G$1)</f>
        <v>1.5E-3</v>
      </c>
      <c r="G37" s="2046"/>
      <c r="H37" s="2061"/>
      <c r="I37" s="841" t="s">
        <v>1805</v>
      </c>
      <c r="J37" s="842"/>
      <c r="K37" s="2066"/>
      <c r="L37" s="2061"/>
      <c r="M37" s="2061"/>
    </row>
    <row r="38" spans="1:18" ht="18" customHeight="1" thickBot="1">
      <c r="A38" s="2514" t="s">
        <v>1880</v>
      </c>
      <c r="B38" s="2509" t="s">
        <v>657</v>
      </c>
      <c r="C38" s="2507">
        <f ca="1">ROUND(C5*F38,1)</f>
        <v>9.4</v>
      </c>
      <c r="D38" s="2508" t="s">
        <v>1794</v>
      </c>
      <c r="E38" s="2509" t="s">
        <v>1785</v>
      </c>
      <c r="F38" s="2505">
        <f ca="1">INDIRECT("'数据-取费表'!Am"&amp;$G$1)</f>
        <v>0.02</v>
      </c>
      <c r="G38" s="2046"/>
      <c r="H38" s="2061"/>
      <c r="I38" s="843" t="s">
        <v>1806</v>
      </c>
      <c r="J38" s="844"/>
      <c r="K38" s="2067"/>
      <c r="L38" s="2061"/>
      <c r="M38" s="2061"/>
    </row>
    <row r="39" spans="1:18" ht="24.6" customHeight="1" thickTop="1">
      <c r="A39" s="1813" t="s">
        <v>1765</v>
      </c>
      <c r="B39" s="2961" t="s">
        <v>2807</v>
      </c>
      <c r="C39" s="792">
        <f ca="1">C5-C30</f>
        <v>123</v>
      </c>
      <c r="D39" s="2511" t="s">
        <v>1795</v>
      </c>
      <c r="E39" s="2512"/>
      <c r="F39" s="2513"/>
      <c r="G39" s="2046"/>
      <c r="H39" s="2061"/>
      <c r="I39" s="837" t="s">
        <v>1807</v>
      </c>
      <c r="J39" s="845">
        <f ca="1">ROUND(J35/C39,3)</f>
        <v>10.007999999999999</v>
      </c>
      <c r="K39" s="2067"/>
      <c r="L39" s="2061"/>
      <c r="M39" s="2061"/>
    </row>
    <row r="40" spans="1:18" ht="18" customHeight="1">
      <c r="A40" s="781" t="s">
        <v>1884</v>
      </c>
      <c r="B40" s="2216" t="s">
        <v>2287</v>
      </c>
      <c r="C40" s="783">
        <f ca="1">ROUND(C39*(1-((1+F42)/(1+F40))^F41)/(F40-F42),0)</f>
        <v>3382</v>
      </c>
      <c r="D40" s="814" t="s">
        <v>1796</v>
      </c>
      <c r="E40" s="784" t="s">
        <v>2405</v>
      </c>
      <c r="F40" s="794">
        <f ca="1">INDIRECT("'数据-取费表'!I"&amp;$G$1)</f>
        <v>4.4999999999999998E-2</v>
      </c>
      <c r="G40" s="2046"/>
      <c r="H40" s="2046"/>
      <c r="I40" s="837" t="s">
        <v>1808</v>
      </c>
      <c r="J40" s="845">
        <f ca="1">1-J39</f>
        <v>-9.0079999999999991</v>
      </c>
      <c r="K40" s="2067"/>
      <c r="L40" s="2046"/>
      <c r="M40" s="2046"/>
    </row>
    <row r="41" spans="1:18" ht="18" customHeight="1">
      <c r="A41" s="786"/>
      <c r="B41" s="787"/>
      <c r="C41" s="788"/>
      <c r="D41" s="821" t="s">
        <v>1797</v>
      </c>
      <c r="E41" s="784" t="s">
        <v>699</v>
      </c>
      <c r="F41" s="822">
        <f ca="1">IF(INDIRECT("'数据-取费表'!af"&amp;$G$1)=0,INDIRECT("'数据-取费表'!ae"&amp;$G$1),INDIRECT("'数据-取费表'!af"&amp;$G$1))</f>
        <v>36.78</v>
      </c>
      <c r="G41" s="2046"/>
      <c r="H41" s="1972"/>
      <c r="I41" s="843" t="s">
        <v>1809</v>
      </c>
      <c r="J41" s="846"/>
      <c r="K41" s="2066"/>
      <c r="L41" s="1972"/>
      <c r="M41" s="1972"/>
    </row>
    <row r="42" spans="1:18" ht="18" customHeight="1">
      <c r="A42" s="790"/>
      <c r="B42" s="791"/>
      <c r="C42" s="792"/>
      <c r="D42" s="816"/>
      <c r="E42" s="784" t="s">
        <v>701</v>
      </c>
      <c r="F42" s="794">
        <f ca="1">INDIRECT("'数据-取费表'!v"&amp;$G$1)</f>
        <v>0.03</v>
      </c>
      <c r="G42" s="2046"/>
      <c r="H42" s="1972"/>
      <c r="I42" s="847" t="s">
        <v>1810</v>
      </c>
      <c r="J42" s="845">
        <f ca="1">ROUND(C13/C40,3)</f>
        <v>4.282</v>
      </c>
      <c r="K42" s="2066"/>
      <c r="L42" s="1972"/>
      <c r="M42" s="1972"/>
    </row>
    <row r="43" spans="1:18" ht="18" customHeight="1" thickBot="1">
      <c r="A43" s="823" t="s">
        <v>1776</v>
      </c>
      <c r="B43" s="824" t="s">
        <v>1799</v>
      </c>
      <c r="C43" s="825">
        <f ca="1">ROUND(C40*10000/F43,0)</f>
        <v>881</v>
      </c>
      <c r="D43" s="826" t="s">
        <v>1800</v>
      </c>
      <c r="E43" s="827" t="s">
        <v>1801</v>
      </c>
      <c r="F43" s="828">
        <f ca="1">INDIRECT("'数据-取费表'!k"&amp;$G$1)</f>
        <v>38387.129999999997</v>
      </c>
      <c r="G43" s="2046"/>
      <c r="H43" s="1972"/>
      <c r="I43" s="847" t="s">
        <v>1811</v>
      </c>
      <c r="J43" s="848">
        <f ca="1">1-J42</f>
        <v>-3.282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2281</v>
      </c>
      <c r="B46" s="2069"/>
      <c r="C46" s="2537">
        <f ca="1">C67-C40</f>
        <v>-7980</v>
      </c>
      <c r="D46" s="2069"/>
      <c r="E46" s="2069"/>
      <c r="F46" s="2069"/>
      <c r="I46" s="2341" t="s">
        <v>2329</v>
      </c>
      <c r="J46" s="2342"/>
      <c r="K46" s="2343"/>
      <c r="L46" s="3101">
        <f>IF(OR(M47="住宅",D1="土地（套用方法）"),0,IF(L48&gt;J51,L60,J60))</f>
        <v>0</v>
      </c>
      <c r="O46" s="2357" t="s">
        <v>2396</v>
      </c>
      <c r="P46" s="1577"/>
      <c r="Q46" s="1588"/>
      <c r="R46" s="1577"/>
    </row>
    <row r="47" spans="1:18" s="2043" customFormat="1" ht="18" customHeight="1" thickBot="1">
      <c r="A47" s="2335">
        <v>1</v>
      </c>
      <c r="B47" s="2336" t="s">
        <v>626</v>
      </c>
      <c r="C47" s="2537">
        <f ca="1">C48+C52+C54</f>
        <v>0</v>
      </c>
      <c r="D47" s="2069"/>
      <c r="E47" s="2069"/>
      <c r="F47" s="2069"/>
      <c r="I47" s="3092" t="s">
        <v>2330</v>
      </c>
      <c r="J47" s="2344" t="s">
        <v>3121</v>
      </c>
      <c r="K47" s="3098" t="s">
        <v>2335</v>
      </c>
      <c r="L47" s="3102">
        <f ca="1">INDIRECT("'数据-取费表'!d"&amp;$G$1)</f>
        <v>40</v>
      </c>
      <c r="M47" s="1588" t="str">
        <f>IF(ISNUMBER(FIND("住宅",C1)),"住宅","非住宅")</f>
        <v>非住宅</v>
      </c>
      <c r="O47" s="2358" t="s">
        <v>2361</v>
      </c>
      <c r="P47" s="2359" t="s">
        <v>2362</v>
      </c>
      <c r="Q47" s="2360" t="s">
        <v>2363</v>
      </c>
      <c r="R47" s="2359" t="s">
        <v>2364</v>
      </c>
    </row>
    <row r="48" spans="1:18" s="2043" customFormat="1" ht="18" customHeight="1" thickBot="1">
      <c r="A48" s="2605" t="s">
        <v>2523</v>
      </c>
      <c r="B48" s="2606" t="s">
        <v>2524</v>
      </c>
      <c r="C48" s="2337">
        <f ca="1">ROUND(F48*F50*F49*(1-F51)/10000,0)</f>
        <v>0</v>
      </c>
      <c r="D48" s="2338" t="s">
        <v>627</v>
      </c>
      <c r="E48" s="2339" t="s">
        <v>2282</v>
      </c>
      <c r="F48" s="2340"/>
      <c r="G48" s="2074"/>
      <c r="I48" s="3071" t="s">
        <v>2331</v>
      </c>
      <c r="J48" s="2345" t="s">
        <v>2336</v>
      </c>
      <c r="K48" s="3099" t="s">
        <v>2337</v>
      </c>
      <c r="L48" s="1892">
        <f ca="1">INDIRECT("'数据-取费表'!f"&amp;$G$1)</f>
        <v>38.78</v>
      </c>
      <c r="O48" s="2361" t="s">
        <v>2365</v>
      </c>
      <c r="P48" s="2362" t="s">
        <v>2391</v>
      </c>
      <c r="Q48" s="2363">
        <f ca="1">C40+J29</f>
        <v>3382</v>
      </c>
      <c r="R48" s="2362" t="s">
        <v>2366</v>
      </c>
    </row>
    <row r="49" spans="1:18" s="2043" customFormat="1" ht="18" customHeight="1" thickBot="1">
      <c r="A49" s="786"/>
      <c r="B49" s="787"/>
      <c r="C49" s="788"/>
      <c r="D49" s="789"/>
      <c r="E49" s="784" t="s">
        <v>1728</v>
      </c>
      <c r="F49" s="785">
        <f ca="1">F7</f>
        <v>1146</v>
      </c>
      <c r="G49" s="2074"/>
      <c r="H49" s="2077"/>
      <c r="I49" s="3071" t="s">
        <v>2332</v>
      </c>
      <c r="J49" s="2346">
        <v>2022</v>
      </c>
      <c r="K49" s="3100" t="s">
        <v>2338</v>
      </c>
      <c r="L49" s="2347"/>
      <c r="O49" s="2361" t="s">
        <v>2367</v>
      </c>
      <c r="P49" s="2362" t="s">
        <v>2392</v>
      </c>
      <c r="Q49" s="2363" t="str">
        <f ca="1">J60</f>
        <v>0</v>
      </c>
      <c r="R49" s="2362" t="s">
        <v>2368</v>
      </c>
    </row>
    <row r="50" spans="1:18" s="2043" customFormat="1" ht="18" customHeight="1" thickBot="1">
      <c r="A50" s="786"/>
      <c r="B50" s="787"/>
      <c r="C50" s="788"/>
      <c r="D50" s="789"/>
      <c r="E50" s="784" t="s">
        <v>630</v>
      </c>
      <c r="F50" s="785">
        <f ca="1">F8</f>
        <v>12</v>
      </c>
      <c r="G50" s="2079"/>
      <c r="H50" s="2077"/>
      <c r="I50" s="3071" t="s">
        <v>2333</v>
      </c>
      <c r="J50" s="3096">
        <f>SUMPRODUCT((I63:I65=J47)*(J62:L62=J48)*(J63:L65))</f>
        <v>60</v>
      </c>
      <c r="K50" s="3100" t="s">
        <v>2339</v>
      </c>
      <c r="L50" s="2347"/>
      <c r="O50" s="2364" t="s">
        <v>2369</v>
      </c>
      <c r="P50" s="2362" t="s">
        <v>2393</v>
      </c>
      <c r="Q50" s="2363">
        <f ca="1">C29</f>
        <v>14483</v>
      </c>
      <c r="R50" s="2362" t="s">
        <v>2366</v>
      </c>
    </row>
    <row r="51" spans="1:18" s="2043" customFormat="1" ht="18" customHeight="1" thickBot="1">
      <c r="A51" s="786"/>
      <c r="B51" s="787"/>
      <c r="C51" s="788"/>
      <c r="D51" s="789"/>
      <c r="E51" s="784" t="s">
        <v>631</v>
      </c>
      <c r="F51" s="2334"/>
      <c r="H51" s="2077"/>
      <c r="I51" s="3093" t="s">
        <v>2334</v>
      </c>
      <c r="J51" s="3097">
        <f>IF(J49="",J50,J49+J50-YEAR('数据-取费表'!B2))</f>
        <v>62</v>
      </c>
      <c r="K51" s="3071" t="s">
        <v>2340</v>
      </c>
      <c r="L51" s="3103">
        <f ca="1">ROUND(-PV(INDIRECT("'数据-取费表'!h"&amp;$G$1),J51,(C39-C13*J36),0),0)</f>
        <v>-25267</v>
      </c>
      <c r="O51" s="2364" t="s">
        <v>2370</v>
      </c>
      <c r="P51" s="2362" t="s">
        <v>2371</v>
      </c>
      <c r="Q51" s="2365" t="e">
        <f ca="1">J58</f>
        <v>#VALUE!</v>
      </c>
      <c r="R51" s="2366"/>
    </row>
    <row r="52" spans="1:18" s="2043" customFormat="1" ht="18" customHeight="1" thickBot="1">
      <c r="A52" s="781" t="s">
        <v>2522</v>
      </c>
      <c r="B52" s="2457" t="s">
        <v>2445</v>
      </c>
      <c r="C52" s="799">
        <f ca="1">ROUND(IF(F52="押一",C48/12*F11,IF(F52="押二",C48/12*2*F11,IF(F52="押三",C48/12*3*F11,C53*F11))),0)</f>
        <v>0</v>
      </c>
      <c r="D52" s="2464" t="s">
        <v>2960</v>
      </c>
      <c r="E52" s="2461" t="s">
        <v>2450</v>
      </c>
      <c r="F52" s="2584"/>
      <c r="I52" s="3094" t="s">
        <v>2407</v>
      </c>
      <c r="J52" s="2348"/>
      <c r="K52" s="3094" t="s">
        <v>2406</v>
      </c>
      <c r="L52" s="2348"/>
      <c r="O52" s="2364" t="s">
        <v>2372</v>
      </c>
      <c r="P52" s="2362" t="s">
        <v>2373</v>
      </c>
      <c r="Q52" s="2365">
        <f>J52</f>
        <v>0</v>
      </c>
      <c r="R52" s="2366"/>
    </row>
    <row r="53" spans="1:18" s="2043" customFormat="1" ht="39.75" customHeight="1" thickBot="1">
      <c r="A53" s="786"/>
      <c r="B53" s="2458" t="s">
        <v>2559</v>
      </c>
      <c r="C53" s="2462"/>
      <c r="D53" s="2464"/>
      <c r="E53" s="2461"/>
      <c r="F53" s="800"/>
      <c r="I53" s="3095" t="s">
        <v>2964</v>
      </c>
      <c r="J53" s="3174">
        <f ca="1">IF(M47="住宅",IF(D1="——",MAX(J51,L48),MAX(J51,L48-'数据-取费表'!B20)),IF(D1="——",MIN(J51,L48),MIN(J51,L48-'数据-取费表'!B20)))</f>
        <v>36.78</v>
      </c>
      <c r="K53" s="3478" t="s">
        <v>2952</v>
      </c>
      <c r="L53" s="3479"/>
      <c r="O53" s="2364" t="s">
        <v>2374</v>
      </c>
      <c r="P53" s="2362" t="s">
        <v>2375</v>
      </c>
      <c r="Q53" s="2363">
        <f ca="1">J53</f>
        <v>36.78</v>
      </c>
      <c r="R53" s="2362" t="s">
        <v>2376</v>
      </c>
    </row>
    <row r="54" spans="1:18" s="2043" customFormat="1" ht="18" customHeight="1" thickBot="1">
      <c r="A54" s="2500" t="s">
        <v>2453</v>
      </c>
      <c r="B54" s="2501" t="s">
        <v>2446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2377</v>
      </c>
      <c r="P54" s="2362" t="s">
        <v>2394</v>
      </c>
      <c r="Q54" s="2363">
        <f ca="1">Q48+Q49</f>
        <v>3382</v>
      </c>
      <c r="R54" s="2366" t="s">
        <v>2378</v>
      </c>
    </row>
    <row r="55" spans="1:18" s="2043" customFormat="1" ht="18" customHeight="1" thickTop="1" thickBot="1">
      <c r="A55" s="797">
        <v>2</v>
      </c>
      <c r="B55" s="798" t="s">
        <v>635</v>
      </c>
      <c r="C55" s="799">
        <f ca="1">C13</f>
        <v>14483</v>
      </c>
      <c r="D55" s="795"/>
      <c r="E55" s="795"/>
      <c r="F55" s="800"/>
      <c r="I55" s="3106" t="s">
        <v>2341</v>
      </c>
      <c r="J55" s="3046" t="e">
        <f ca="1">ROUND(IF(J47="钢混",J57/J50,1-(1-2%)*(J50-J57)/J50),3)</f>
        <v>#VALUE!</v>
      </c>
      <c r="K55" s="3107" t="s">
        <v>2342</v>
      </c>
      <c r="L55" s="2349"/>
      <c r="O55" s="2367" t="s">
        <v>2397</v>
      </c>
      <c r="P55" s="1577"/>
      <c r="Q55" s="1588"/>
      <c r="R55" s="1577"/>
    </row>
    <row r="56" spans="1:18" s="2043" customFormat="1" ht="42.75" customHeight="1" thickBot="1">
      <c r="A56" s="1634"/>
      <c r="B56" s="2215" t="s">
        <v>2286</v>
      </c>
      <c r="C56" s="53">
        <f ca="1">C29</f>
        <v>14483</v>
      </c>
      <c r="D56" s="3189"/>
      <c r="E56" s="784"/>
      <c r="F56" s="809"/>
      <c r="I56" s="3108" t="s">
        <v>2343</v>
      </c>
      <c r="J56" s="3118" t="s">
        <v>1667</v>
      </c>
      <c r="K56" s="3071" t="s">
        <v>2348</v>
      </c>
      <c r="L56" s="1892" t="str">
        <f ca="1">IF(L48&lt;J51,"——",L48-J51)</f>
        <v>——</v>
      </c>
      <c r="O56" s="2358" t="s">
        <v>2361</v>
      </c>
      <c r="P56" s="2359" t="s">
        <v>2362</v>
      </c>
      <c r="Q56" s="2360" t="s">
        <v>2363</v>
      </c>
      <c r="R56" s="2359" t="s">
        <v>2364</v>
      </c>
    </row>
    <row r="57" spans="1:18" s="2043" customFormat="1" ht="28.5" customHeight="1" thickBot="1">
      <c r="A57" s="797" t="s">
        <v>7</v>
      </c>
      <c r="B57" s="798" t="s">
        <v>642</v>
      </c>
      <c r="C57" s="799">
        <f ca="1">ROUND(C58+C63+C64+C65,0)</f>
        <v>258</v>
      </c>
      <c r="D57" s="26" t="s">
        <v>643</v>
      </c>
      <c r="E57" s="3191"/>
      <c r="F57" s="56"/>
      <c r="I57" s="3109" t="s">
        <v>2344</v>
      </c>
      <c r="J57" s="3110" t="str">
        <f ca="1">IF(OR(M47="住宅",J51&lt;L48,J56="是"),"——",J51-L48)</f>
        <v>——</v>
      </c>
      <c r="K57" s="3071" t="s">
        <v>2349</v>
      </c>
      <c r="L57" s="1892" t="str">
        <f ca="1">IF(L48&lt;J51,"——",IF(L55="比较法",L49,IF(L55="基准地价",L50,L51)))</f>
        <v>——</v>
      </c>
      <c r="O57" s="2361" t="s">
        <v>2365</v>
      </c>
      <c r="P57" s="2362" t="s">
        <v>2395</v>
      </c>
      <c r="Q57" s="2363">
        <f ca="1">C40+J29</f>
        <v>3382</v>
      </c>
      <c r="R57" s="2362" t="s">
        <v>2366</v>
      </c>
    </row>
    <row r="58" spans="1:18" s="2043" customFormat="1" ht="28.5" customHeight="1" thickBot="1">
      <c r="A58" s="1633" t="s">
        <v>1813</v>
      </c>
      <c r="B58" s="784" t="s">
        <v>647</v>
      </c>
      <c r="C58" s="53">
        <f ca="1">ROUND(IF(项目基本情况!B11="自然人",C47*F58,C59+C60+C61),1)</f>
        <v>19.3</v>
      </c>
      <c r="D58" s="3188" t="s">
        <v>648</v>
      </c>
      <c r="E58" s="3189" t="s">
        <v>681</v>
      </c>
      <c r="F58" s="810">
        <f ca="1">IF(项目基本情况!B11="企业","",IF(INDIRECT("'数据-取费表'!c"&amp;$G$1)="住宅",5%,IF(F48*F49*F50/12/(1+'数据-取费表'!C42)&gt;20000,12%,7%)))</f>
        <v>7.0000000000000007E-2</v>
      </c>
      <c r="I58" s="3109" t="s">
        <v>2345</v>
      </c>
      <c r="J58" s="3047" t="e">
        <f ca="1">IF(J55&lt;0.4,0.4,J55)</f>
        <v>#VALUE!</v>
      </c>
      <c r="K58" s="3071" t="s">
        <v>2350</v>
      </c>
      <c r="L58" s="1892" t="e">
        <f ca="1">ROUND(POWER(1+L52,L47-L48)*(POWER(1+L52,L48)-1)/(POWER(1+L52,L47)-1),4)</f>
        <v>#DIV/0!</v>
      </c>
      <c r="O58" s="2361" t="s">
        <v>2367</v>
      </c>
      <c r="P58" s="2362" t="s">
        <v>2398</v>
      </c>
      <c r="Q58" s="2363">
        <f ca="1">L60</f>
        <v>0</v>
      </c>
      <c r="R58" s="2366" t="s">
        <v>2400</v>
      </c>
    </row>
    <row r="59" spans="1:18" s="2043" customFormat="1" ht="28.5" customHeight="1" thickBot="1">
      <c r="A59" s="1632" t="s">
        <v>1820</v>
      </c>
      <c r="B59" s="784" t="s">
        <v>651</v>
      </c>
      <c r="C59" s="53">
        <f ca="1">ROUND(C47*F59/1.05,1)</f>
        <v>0</v>
      </c>
      <c r="D59" s="3189" t="s">
        <v>1745</v>
      </c>
      <c r="E59" s="784" t="s">
        <v>640</v>
      </c>
      <c r="F59" s="809">
        <f t="shared" ref="F59:F65" si="0">F32</f>
        <v>5.6000000000000001E-2</v>
      </c>
      <c r="I59" s="3109" t="s">
        <v>2346</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2369</v>
      </c>
      <c r="P59" s="2362" t="s">
        <v>2399</v>
      </c>
      <c r="Q59" s="2363">
        <f>IF(L55="比较法",L49,IF(L55="基准地价",L50,0))</f>
        <v>0</v>
      </c>
      <c r="R59" s="2362" t="s">
        <v>2366</v>
      </c>
    </row>
    <row r="60" spans="1:18" s="2043" customFormat="1" ht="18" customHeight="1" thickBot="1">
      <c r="A60" s="1632" t="s">
        <v>1821</v>
      </c>
      <c r="B60" s="784" t="s">
        <v>655</v>
      </c>
      <c r="C60" s="53">
        <f ca="1">IF(D60="按租金收入计税",ROUND(C47*F60,1),IF(D60="按房产原值计税",ROUND(C56*F60*0.7,1),INDIRECT("'数据-取费表'!Aj"&amp;$G$1)))</f>
        <v>0</v>
      </c>
      <c r="D60" s="3189" t="str">
        <f>D33</f>
        <v>按租金收入计税</v>
      </c>
      <c r="E60" s="784" t="s">
        <v>640</v>
      </c>
      <c r="F60" s="809">
        <f t="shared" si="0"/>
        <v>0.12</v>
      </c>
      <c r="I60" s="3111" t="s">
        <v>2347</v>
      </c>
      <c r="J60" s="3112" t="str">
        <f ca="1">IF(OR(M47="住宅",J51&lt;L48,J56="是"),"0",ROUND(J59/(1+J52)^J53,0))</f>
        <v>0</v>
      </c>
      <c r="K60" s="3113" t="s">
        <v>2352</v>
      </c>
      <c r="L60" s="3112">
        <f ca="1">IF(OR(M47="住宅",L48&lt;J51),0,ROUND(L57*(L58/L59-1),0))</f>
        <v>0</v>
      </c>
      <c r="O60" s="2364" t="s">
        <v>2370</v>
      </c>
      <c r="P60" s="2362" t="s">
        <v>2379</v>
      </c>
      <c r="Q60" s="2365">
        <f>L52</f>
        <v>0</v>
      </c>
      <c r="R60" s="2366"/>
    </row>
    <row r="61" spans="1:18" s="2043" customFormat="1" ht="18" customHeight="1" thickBot="1">
      <c r="A61" s="1635" t="s">
        <v>1822</v>
      </c>
      <c r="B61" s="341" t="s">
        <v>659</v>
      </c>
      <c r="C61" s="54">
        <f ca="1">ROUND(F61*F62/10000,1)</f>
        <v>19.3</v>
      </c>
      <c r="D61" s="814" t="s">
        <v>660</v>
      </c>
      <c r="E61" s="784" t="s">
        <v>661</v>
      </c>
      <c r="F61" s="640">
        <f t="shared" si="0"/>
        <v>12</v>
      </c>
      <c r="K61" s="2070"/>
      <c r="O61" s="2364" t="s">
        <v>2372</v>
      </c>
      <c r="P61" s="2362" t="s">
        <v>2380</v>
      </c>
      <c r="Q61" s="2363" t="e">
        <f ca="1">L58</f>
        <v>#DIV/0!</v>
      </c>
      <c r="R61" s="2366" t="s">
        <v>2381</v>
      </c>
    </row>
    <row r="62" spans="1:18" s="2043" customFormat="1" ht="15.75" thickBot="1">
      <c r="A62" s="815"/>
      <c r="B62" s="793"/>
      <c r="C62" s="69"/>
      <c r="D62" s="816"/>
      <c r="E62" s="784" t="s">
        <v>665</v>
      </c>
      <c r="F62" s="785">
        <f t="shared" ca="1" si="0"/>
        <v>16046.5</v>
      </c>
      <c r="I62" s="3114" t="s">
        <v>2353</v>
      </c>
      <c r="J62" s="3115" t="s">
        <v>2354</v>
      </c>
      <c r="K62" s="3115" t="s">
        <v>2355</v>
      </c>
      <c r="L62" s="3115" t="s">
        <v>2336</v>
      </c>
      <c r="M62" s="3116" t="s">
        <v>2929</v>
      </c>
      <c r="O62" s="2364" t="s">
        <v>2374</v>
      </c>
      <c r="P62" s="2362" t="str">
        <f>K59</f>
        <v>建设期及建筑物耐用年限下的土地年期修正系数Kn</v>
      </c>
      <c r="Q62" s="2363" t="e">
        <f ca="1">L59</f>
        <v>#DIV/0!</v>
      </c>
      <c r="R62" s="2366" t="s">
        <v>2383</v>
      </c>
    </row>
    <row r="63" spans="1:18" s="2043" customFormat="1" ht="15.75" thickBot="1">
      <c r="A63" s="1633" t="s">
        <v>1878</v>
      </c>
      <c r="B63" s="784" t="s">
        <v>667</v>
      </c>
      <c r="C63" s="53">
        <f ca="1">ROUND(C56*F63,1)</f>
        <v>217.2</v>
      </c>
      <c r="D63" s="3189" t="s">
        <v>1792</v>
      </c>
      <c r="E63" s="784" t="s">
        <v>640</v>
      </c>
      <c r="F63" s="817">
        <f t="shared" ca="1" si="0"/>
        <v>1.4999999999999999E-2</v>
      </c>
      <c r="I63" s="3114" t="s">
        <v>2356</v>
      </c>
      <c r="J63" s="3115">
        <v>70</v>
      </c>
      <c r="K63" s="3115">
        <v>50</v>
      </c>
      <c r="L63" s="3115">
        <v>80</v>
      </c>
      <c r="M63" s="3117">
        <v>0.02</v>
      </c>
      <c r="O63" s="2361" t="s">
        <v>2377</v>
      </c>
      <c r="P63" s="2362" t="s">
        <v>2394</v>
      </c>
      <c r="Q63" s="2363">
        <f ca="1">Q57+Q58</f>
        <v>3382</v>
      </c>
      <c r="R63" s="2366" t="s">
        <v>2378</v>
      </c>
    </row>
    <row r="64" spans="1:18" s="2043" customFormat="1" ht="16.5" thickBot="1">
      <c r="A64" s="1633" t="s">
        <v>1879</v>
      </c>
      <c r="B64" s="784" t="s">
        <v>670</v>
      </c>
      <c r="C64" s="53">
        <f ca="1">ROUND(C55*F64,1)</f>
        <v>21.7</v>
      </c>
      <c r="D64" s="3189" t="s">
        <v>671</v>
      </c>
      <c r="E64" s="784" t="s">
        <v>640</v>
      </c>
      <c r="F64" s="818">
        <f t="shared" ca="1" si="0"/>
        <v>1.5E-3</v>
      </c>
      <c r="I64" s="3114" t="s">
        <v>2357</v>
      </c>
      <c r="J64" s="3115">
        <v>50</v>
      </c>
      <c r="K64" s="3115">
        <v>35</v>
      </c>
      <c r="L64" s="3115">
        <v>60</v>
      </c>
      <c r="M64" s="846">
        <v>0</v>
      </c>
      <c r="O64" s="2367" t="s">
        <v>2401</v>
      </c>
      <c r="P64" s="1577"/>
      <c r="Q64" s="1588"/>
      <c r="R64" s="1577"/>
    </row>
    <row r="65" spans="1:18" s="2043" customFormat="1" ht="15.75" thickBot="1">
      <c r="A65" s="1633" t="s">
        <v>1880</v>
      </c>
      <c r="B65" s="784" t="s">
        <v>657</v>
      </c>
      <c r="C65" s="53">
        <f ca="1">ROUND(C47*F65,1)</f>
        <v>0</v>
      </c>
      <c r="D65" s="3189" t="s">
        <v>674</v>
      </c>
      <c r="E65" s="784" t="s">
        <v>640</v>
      </c>
      <c r="F65" s="794">
        <f t="shared" ca="1" si="0"/>
        <v>0.02</v>
      </c>
      <c r="I65" s="3114" t="s">
        <v>2358</v>
      </c>
      <c r="J65" s="3115">
        <v>40</v>
      </c>
      <c r="K65" s="3115">
        <v>30</v>
      </c>
      <c r="L65" s="3115">
        <v>50</v>
      </c>
      <c r="M65" s="3117">
        <v>0.02</v>
      </c>
      <c r="O65" s="2358" t="s">
        <v>2361</v>
      </c>
      <c r="P65" s="2359" t="s">
        <v>2362</v>
      </c>
      <c r="Q65" s="2360" t="s">
        <v>2363</v>
      </c>
      <c r="R65" s="2359" t="s">
        <v>2364</v>
      </c>
    </row>
    <row r="66" spans="1:18" s="2043" customFormat="1" ht="24.75" thickBot="1">
      <c r="A66" s="797" t="s">
        <v>1765</v>
      </c>
      <c r="B66" s="2962" t="s">
        <v>2807</v>
      </c>
      <c r="C66" s="799">
        <f ca="1">C47-C57</f>
        <v>-258</v>
      </c>
      <c r="D66" s="3188" t="s">
        <v>691</v>
      </c>
      <c r="E66" s="3186"/>
      <c r="F66" s="820"/>
      <c r="K66" s="2070"/>
      <c r="O66" s="2361" t="s">
        <v>2365</v>
      </c>
      <c r="P66" s="2362" t="s">
        <v>2395</v>
      </c>
      <c r="Q66" s="2363">
        <f ca="1">C40+J29</f>
        <v>3382</v>
      </c>
      <c r="R66" s="2362" t="s">
        <v>2366</v>
      </c>
    </row>
    <row r="67" spans="1:18" s="2043" customFormat="1" ht="20.25" thickBot="1">
      <c r="A67" s="781" t="s">
        <v>1769</v>
      </c>
      <c r="B67" s="2216" t="s">
        <v>2287</v>
      </c>
      <c r="C67" s="783">
        <f ca="1">ROUND(C66*(1-((1+F69)/(1+F67))^F68)/(F67-F69),0)</f>
        <v>-4598</v>
      </c>
      <c r="D67" s="814" t="s">
        <v>695</v>
      </c>
      <c r="E67" s="784" t="s">
        <v>696</v>
      </c>
      <c r="F67" s="794">
        <f ca="1">F40</f>
        <v>4.4999999999999998E-2</v>
      </c>
      <c r="K67" s="2070"/>
      <c r="O67" s="2361" t="s">
        <v>2367</v>
      </c>
      <c r="P67" s="2362" t="s">
        <v>2398</v>
      </c>
      <c r="Q67" s="2363">
        <f ca="1">L60</f>
        <v>0</v>
      </c>
      <c r="R67" s="2366" t="s">
        <v>2400</v>
      </c>
    </row>
    <row r="68" spans="1:18" ht="21.75" thickBot="1">
      <c r="A68" s="786"/>
      <c r="B68" s="787"/>
      <c r="C68" s="788"/>
      <c r="D68" s="821" t="s">
        <v>1797</v>
      </c>
      <c r="E68" s="784" t="s">
        <v>1773</v>
      </c>
      <c r="F68" s="822">
        <f ca="1">F41</f>
        <v>36.78</v>
      </c>
      <c r="O68" s="2364" t="s">
        <v>2369</v>
      </c>
      <c r="P68" s="2362" t="s">
        <v>2399</v>
      </c>
      <c r="Q68" s="2368">
        <f ca="1">L51</f>
        <v>-25267</v>
      </c>
      <c r="R68" s="2369" t="s">
        <v>2402</v>
      </c>
    </row>
    <row r="69" spans="1:18" ht="20.25" thickBot="1">
      <c r="A69" s="790"/>
      <c r="B69" s="791"/>
      <c r="C69" s="792"/>
      <c r="D69" s="816"/>
      <c r="E69" s="784" t="s">
        <v>701</v>
      </c>
      <c r="F69" s="2334"/>
      <c r="O69" s="2364" t="s">
        <v>2370</v>
      </c>
      <c r="P69" s="2370" t="s">
        <v>2384</v>
      </c>
      <c r="Q69" s="2363">
        <f ca="1">ROUND(Q70-Q71*Q72,0)</f>
        <v>-1108</v>
      </c>
      <c r="R69" s="2366"/>
    </row>
    <row r="70" spans="1:18" ht="15.75" thickBot="1">
      <c r="A70" s="823" t="s">
        <v>1776</v>
      </c>
      <c r="B70" s="824" t="s">
        <v>1799</v>
      </c>
      <c r="C70" s="825">
        <f ca="1">ROUND(C67*10000/F70,0)</f>
        <v>-1198</v>
      </c>
      <c r="D70" s="826" t="s">
        <v>1800</v>
      </c>
      <c r="E70" s="827" t="s">
        <v>1801</v>
      </c>
      <c r="F70" s="828">
        <f ca="1">F43</f>
        <v>38387.129999999997</v>
      </c>
      <c r="O70" s="2364" t="s">
        <v>2385</v>
      </c>
      <c r="P70" s="2370" t="s">
        <v>2386</v>
      </c>
      <c r="Q70" s="2363">
        <f ca="1">C39</f>
        <v>123</v>
      </c>
      <c r="R70" s="2362" t="s">
        <v>2366</v>
      </c>
    </row>
    <row r="71" spans="1:18" ht="15.75" thickBot="1">
      <c r="O71" s="2364" t="s">
        <v>2387</v>
      </c>
      <c r="P71" s="2370" t="s">
        <v>2388</v>
      </c>
      <c r="Q71" s="2363">
        <f ca="1">C13</f>
        <v>14483</v>
      </c>
      <c r="R71" s="2362" t="s">
        <v>2366</v>
      </c>
    </row>
    <row r="72" spans="1:18" ht="15.75" thickBot="1">
      <c r="O72" s="2364" t="s">
        <v>2389</v>
      </c>
      <c r="P72" s="2370" t="s">
        <v>2390</v>
      </c>
      <c r="Q72" s="2365">
        <f ca="1">J36</f>
        <v>8.5000000000000006E-2</v>
      </c>
      <c r="R72" s="2366"/>
    </row>
    <row r="73" spans="1:18" ht="15.75" thickBot="1">
      <c r="O73" s="2364" t="s">
        <v>2372</v>
      </c>
      <c r="P73" s="2362" t="s">
        <v>2379</v>
      </c>
      <c r="Q73" s="2365">
        <f>L52</f>
        <v>0</v>
      </c>
      <c r="R73" s="2366"/>
    </row>
    <row r="74" spans="1:18" ht="20.25" thickBot="1">
      <c r="O74" s="2364" t="s">
        <v>2374</v>
      </c>
      <c r="P74" s="2362" t="s">
        <v>2380</v>
      </c>
      <c r="Q74" s="2363" t="e">
        <f ca="1">L58</f>
        <v>#DIV/0!</v>
      </c>
      <c r="R74" s="2366" t="s">
        <v>2381</v>
      </c>
    </row>
    <row r="75" spans="1:18" ht="15.75" thickBot="1">
      <c r="O75" s="2364" t="s">
        <v>2403</v>
      </c>
      <c r="P75" s="2362" t="str">
        <f>K59</f>
        <v>建设期及建筑物耐用年限下的土地年期修正系数Kn</v>
      </c>
      <c r="Q75" s="2363" t="e">
        <f ca="1">L59</f>
        <v>#DIV/0!</v>
      </c>
      <c r="R75" s="2366" t="s">
        <v>2383</v>
      </c>
    </row>
    <row r="76" spans="1:18" ht="15.75" thickBot="1">
      <c r="O76" s="2361" t="s">
        <v>2377</v>
      </c>
      <c r="P76" s="2362" t="s">
        <v>2394</v>
      </c>
      <c r="Q76" s="2363">
        <f ca="1">Q66+Q67</f>
        <v>3382</v>
      </c>
      <c r="R76" s="2366" t="s">
        <v>2378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7">
      <formula>$L$48&gt;$J$51</formula>
    </cfRule>
  </conditionalFormatting>
  <conditionalFormatting sqref="I55">
    <cfRule type="expression" dxfId="5" priority="6">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dimension ref="A1:P16"/>
  <sheetViews>
    <sheetView workbookViewId="0">
      <selection activeCell="A7" sqref="A7:XFD9"/>
    </sheetView>
  </sheetViews>
  <sheetFormatPr defaultRowHeight="13.5"/>
  <cols>
    <col min="1" max="1" width="36" customWidth="1"/>
    <col min="9" max="9" width="17.5" customWidth="1"/>
  </cols>
  <sheetData>
    <row r="1" spans="1:16" ht="15" thickBot="1">
      <c r="A1" s="3202" t="s">
        <v>3025</v>
      </c>
      <c r="B1" s="3202" t="s">
        <v>3026</v>
      </c>
      <c r="C1" s="3202" t="s">
        <v>3027</v>
      </c>
      <c r="D1" s="3202" t="s">
        <v>3028</v>
      </c>
      <c r="E1" s="3202" t="s">
        <v>3029</v>
      </c>
      <c r="F1" s="3202" t="s">
        <v>2019</v>
      </c>
      <c r="G1" s="3202" t="s">
        <v>3030</v>
      </c>
      <c r="H1" s="3202" t="s">
        <v>3031</v>
      </c>
      <c r="I1" s="3203" t="s">
        <v>3032</v>
      </c>
      <c r="J1" s="3202" t="s">
        <v>3033</v>
      </c>
      <c r="K1" s="3202" t="s">
        <v>3034</v>
      </c>
      <c r="L1" s="3202" t="s">
        <v>3035</v>
      </c>
      <c r="M1" s="3202" t="s">
        <v>3036</v>
      </c>
    </row>
    <row r="2" spans="1:16" ht="15" thickBot="1">
      <c r="A2" s="3204" t="s">
        <v>3037</v>
      </c>
      <c r="B2" s="3205" t="s">
        <v>3038</v>
      </c>
      <c r="C2" s="3205" t="s">
        <v>3039</v>
      </c>
      <c r="D2" s="3206">
        <v>33298.550000000003</v>
      </c>
      <c r="E2" s="3206">
        <v>66597.100000000006</v>
      </c>
      <c r="F2" s="3206" t="s">
        <v>3040</v>
      </c>
      <c r="G2" s="3205" t="s">
        <v>3041</v>
      </c>
      <c r="H2" s="3205" t="s">
        <v>3042</v>
      </c>
      <c r="I2" s="3207">
        <v>43748</v>
      </c>
      <c r="J2" s="3206">
        <v>10889.1</v>
      </c>
      <c r="K2" s="3206">
        <v>1635.06</v>
      </c>
      <c r="L2" s="3206">
        <v>0</v>
      </c>
      <c r="M2" s="3204" t="s">
        <v>3043</v>
      </c>
      <c r="P2">
        <f>J2/D2*666.67</f>
        <v>218.01058295331177</v>
      </c>
    </row>
    <row r="3" spans="1:16" ht="15" thickBot="1">
      <c r="A3" s="3204" t="s">
        <v>3044</v>
      </c>
      <c r="B3" s="3205" t="s">
        <v>3038</v>
      </c>
      <c r="C3" s="3205" t="s">
        <v>3039</v>
      </c>
      <c r="D3" s="3206">
        <v>21794.29</v>
      </c>
      <c r="E3" s="3206">
        <v>87177.16</v>
      </c>
      <c r="F3" s="3206" t="s">
        <v>3076</v>
      </c>
      <c r="G3" s="3205" t="s">
        <v>3041</v>
      </c>
      <c r="H3" s="3205" t="s">
        <v>3042</v>
      </c>
      <c r="I3" s="3207">
        <v>43483</v>
      </c>
      <c r="J3" s="3206">
        <v>9921</v>
      </c>
      <c r="K3" s="3206">
        <v>1138.02</v>
      </c>
      <c r="L3" s="3206">
        <v>0</v>
      </c>
      <c r="M3" s="3204" t="s">
        <v>3045</v>
      </c>
      <c r="P3">
        <f t="shared" ref="P3:P16" si="0">J3/D3*666.67</f>
        <v>303.47550069307141</v>
      </c>
    </row>
    <row r="4" spans="1:16" ht="15" thickBot="1">
      <c r="A4" s="3204" t="s">
        <v>3046</v>
      </c>
      <c r="B4" s="3205" t="s">
        <v>3038</v>
      </c>
      <c r="C4" s="3205" t="s">
        <v>3039</v>
      </c>
      <c r="D4" s="3206">
        <v>39444.15</v>
      </c>
      <c r="E4" s="3206">
        <v>31555.32</v>
      </c>
      <c r="F4" s="3206" t="s">
        <v>3047</v>
      </c>
      <c r="G4" s="3205" t="s">
        <v>3041</v>
      </c>
      <c r="H4" s="3205" t="s">
        <v>3048</v>
      </c>
      <c r="I4" s="3207">
        <v>43440</v>
      </c>
      <c r="J4" s="3206">
        <v>3550</v>
      </c>
      <c r="K4" s="3206">
        <v>1125</v>
      </c>
      <c r="L4" s="3206">
        <v>0</v>
      </c>
      <c r="M4" s="3204" t="s">
        <v>3049</v>
      </c>
      <c r="P4">
        <f t="shared" si="0"/>
        <v>60.000747892906801</v>
      </c>
    </row>
    <row r="5" spans="1:16" ht="15" thickBot="1">
      <c r="A5" s="3204" t="s">
        <v>3050</v>
      </c>
      <c r="B5" s="3205" t="s">
        <v>3038</v>
      </c>
      <c r="C5" s="3205" t="s">
        <v>3039</v>
      </c>
      <c r="D5" s="3206">
        <v>42464.27</v>
      </c>
      <c r="E5" s="3206">
        <v>106160.7</v>
      </c>
      <c r="F5" s="3206" t="s">
        <v>3077</v>
      </c>
      <c r="G5" s="3205" t="s">
        <v>3041</v>
      </c>
      <c r="H5" s="3205" t="s">
        <v>3042</v>
      </c>
      <c r="I5" s="3207">
        <v>43306</v>
      </c>
      <c r="J5" s="3206">
        <v>9982</v>
      </c>
      <c r="K5" s="3206">
        <v>940.26</v>
      </c>
      <c r="L5" s="3206">
        <v>0</v>
      </c>
      <c r="M5" s="3204" t="s">
        <v>3052</v>
      </c>
      <c r="P5">
        <f t="shared" si="0"/>
        <v>156.71292453632196</v>
      </c>
    </row>
    <row r="6" spans="1:16" ht="15" thickBot="1">
      <c r="A6" s="3204" t="s">
        <v>3050</v>
      </c>
      <c r="B6" s="3205" t="s">
        <v>3038</v>
      </c>
      <c r="C6" s="3205" t="s">
        <v>3039</v>
      </c>
      <c r="D6" s="3206">
        <v>19716.73</v>
      </c>
      <c r="E6" s="3206">
        <v>49291.82</v>
      </c>
      <c r="F6" s="3206" t="s">
        <v>3053</v>
      </c>
      <c r="G6" s="3205" t="s">
        <v>3041</v>
      </c>
      <c r="H6" s="3205" t="s">
        <v>3039</v>
      </c>
      <c r="I6" s="3207">
        <v>43019</v>
      </c>
      <c r="J6" s="3206">
        <v>4735</v>
      </c>
      <c r="K6" s="3206">
        <v>960.61</v>
      </c>
      <c r="L6" s="3206">
        <v>2.16</v>
      </c>
      <c r="M6" s="3204" t="s">
        <v>3054</v>
      </c>
      <c r="P6">
        <f t="shared" si="0"/>
        <v>160.10172325735556</v>
      </c>
    </row>
    <row r="7" spans="1:16" s="3212" customFormat="1" ht="15" thickBot="1">
      <c r="A7" s="3208" t="s">
        <v>3055</v>
      </c>
      <c r="B7" s="3209" t="s">
        <v>3038</v>
      </c>
      <c r="C7" s="3209" t="s">
        <v>3039</v>
      </c>
      <c r="D7" s="3210">
        <v>10523.1</v>
      </c>
      <c r="E7" s="3210">
        <v>31569.3</v>
      </c>
      <c r="F7" s="3210" t="s">
        <v>3056</v>
      </c>
      <c r="G7" s="3209" t="s">
        <v>3041</v>
      </c>
      <c r="H7" s="3209" t="s">
        <v>3039</v>
      </c>
      <c r="I7" s="3211">
        <v>42809</v>
      </c>
      <c r="J7" s="3210">
        <v>7235</v>
      </c>
      <c r="K7" s="3210">
        <v>2291.7800000000002</v>
      </c>
      <c r="L7" s="3210">
        <v>12.87</v>
      </c>
      <c r="M7" s="3208" t="s">
        <v>3057</v>
      </c>
      <c r="P7" s="3212">
        <f t="shared" si="0"/>
        <v>458.35898642035136</v>
      </c>
    </row>
    <row r="8" spans="1:16" s="3212" customFormat="1" ht="15" thickBot="1">
      <c r="A8" s="3208" t="s">
        <v>3058</v>
      </c>
      <c r="B8" s="3209" t="s">
        <v>3038</v>
      </c>
      <c r="C8" s="3209" t="s">
        <v>3039</v>
      </c>
      <c r="D8" s="3210">
        <v>30290.6</v>
      </c>
      <c r="E8" s="3210">
        <v>90871.8</v>
      </c>
      <c r="F8" s="3210" t="s">
        <v>3056</v>
      </c>
      <c r="G8" s="3209" t="s">
        <v>3041</v>
      </c>
      <c r="H8" s="3209" t="s">
        <v>3039</v>
      </c>
      <c r="I8" s="3211">
        <v>42809</v>
      </c>
      <c r="J8" s="3210">
        <v>20200</v>
      </c>
      <c r="K8" s="3210">
        <v>2222.9</v>
      </c>
      <c r="L8" s="3210">
        <v>8.7100000000000009</v>
      </c>
      <c r="M8" s="3209" t="s">
        <v>3059</v>
      </c>
      <c r="P8" s="3212">
        <f t="shared" si="0"/>
        <v>444.58459059906369</v>
      </c>
    </row>
    <row r="9" spans="1:16" s="3212" customFormat="1" ht="15" thickBot="1">
      <c r="A9" s="3208" t="s">
        <v>3044</v>
      </c>
      <c r="B9" s="3209" t="s">
        <v>3038</v>
      </c>
      <c r="C9" s="3209" t="s">
        <v>3039</v>
      </c>
      <c r="D9" s="3210">
        <v>21794.2</v>
      </c>
      <c r="E9" s="3210">
        <v>87176.8</v>
      </c>
      <c r="F9" s="3210" t="s">
        <v>3060</v>
      </c>
      <c r="G9" s="3209" t="s">
        <v>3041</v>
      </c>
      <c r="H9" s="3209" t="s">
        <v>3061</v>
      </c>
      <c r="I9" s="3211">
        <v>42751</v>
      </c>
      <c r="J9" s="3210">
        <v>17635</v>
      </c>
      <c r="K9" s="3210">
        <v>2022.9</v>
      </c>
      <c r="L9" s="3210">
        <v>0</v>
      </c>
      <c r="M9" s="3208" t="s">
        <v>3057</v>
      </c>
      <c r="P9" s="3212">
        <f t="shared" si="0"/>
        <v>539.44285406208985</v>
      </c>
    </row>
    <row r="10" spans="1:16" ht="15" thickBot="1">
      <c r="A10" s="3204" t="s">
        <v>3062</v>
      </c>
      <c r="B10" s="3205" t="s">
        <v>3038</v>
      </c>
      <c r="C10" s="3205" t="s">
        <v>3039</v>
      </c>
      <c r="D10" s="3206">
        <v>680.38</v>
      </c>
      <c r="E10" s="3206">
        <v>884.49</v>
      </c>
      <c r="F10" s="3206" t="s">
        <v>3063</v>
      </c>
      <c r="G10" s="3205" t="s">
        <v>3041</v>
      </c>
      <c r="H10" s="3205" t="s">
        <v>3064</v>
      </c>
      <c r="I10" s="3207">
        <v>42643</v>
      </c>
      <c r="J10" s="3206">
        <v>115</v>
      </c>
      <c r="K10" s="3206">
        <v>1300.18</v>
      </c>
      <c r="L10" s="3206">
        <v>4.55</v>
      </c>
      <c r="M10" s="3204" t="s">
        <v>3065</v>
      </c>
      <c r="P10">
        <f t="shared" si="0"/>
        <v>112.68269202504483</v>
      </c>
    </row>
    <row r="11" spans="1:16" ht="15" thickBot="1">
      <c r="A11" s="3204" t="s">
        <v>3066</v>
      </c>
      <c r="B11" s="3205" t="s">
        <v>3038</v>
      </c>
      <c r="C11" s="3205" t="s">
        <v>3039</v>
      </c>
      <c r="D11" s="3206">
        <v>4180.1000000000004</v>
      </c>
      <c r="E11" s="3206">
        <v>8360.2000000000007</v>
      </c>
      <c r="F11" s="3206" t="s">
        <v>3051</v>
      </c>
      <c r="G11" s="3205" t="s">
        <v>3041</v>
      </c>
      <c r="H11" s="3205" t="s">
        <v>3067</v>
      </c>
      <c r="I11" s="3207">
        <v>42523</v>
      </c>
      <c r="J11" s="3206">
        <v>1255</v>
      </c>
      <c r="K11" s="3206">
        <v>1501.16</v>
      </c>
      <c r="L11" s="3206">
        <v>0</v>
      </c>
      <c r="M11" s="3204" t="s">
        <v>3057</v>
      </c>
      <c r="P11">
        <f t="shared" si="0"/>
        <v>200.15570201669814</v>
      </c>
    </row>
    <row r="12" spans="1:16" ht="15" thickBot="1">
      <c r="A12" s="3204" t="s">
        <v>3068</v>
      </c>
      <c r="B12" s="3205" t="s">
        <v>3038</v>
      </c>
      <c r="C12" s="3205" t="s">
        <v>3039</v>
      </c>
      <c r="D12" s="3206">
        <v>9908.7999999999993</v>
      </c>
      <c r="E12" s="3206">
        <v>19817.599999999999</v>
      </c>
      <c r="F12" s="3206" t="s">
        <v>3051</v>
      </c>
      <c r="G12" s="3205" t="s">
        <v>3041</v>
      </c>
      <c r="H12" s="3205" t="s">
        <v>3067</v>
      </c>
      <c r="I12" s="3207">
        <v>42523</v>
      </c>
      <c r="J12" s="3206">
        <v>2975</v>
      </c>
      <c r="K12" s="3206">
        <v>1501.19</v>
      </c>
      <c r="L12" s="3206">
        <v>0</v>
      </c>
      <c r="M12" s="3204" t="s">
        <v>3057</v>
      </c>
      <c r="P12">
        <f t="shared" si="0"/>
        <v>200.15978221378975</v>
      </c>
    </row>
    <row r="13" spans="1:16" ht="15" thickBot="1">
      <c r="A13" s="3204" t="s">
        <v>3069</v>
      </c>
      <c r="B13" s="3205" t="s">
        <v>3038</v>
      </c>
      <c r="C13" s="3205" t="s">
        <v>3039</v>
      </c>
      <c r="D13" s="3206">
        <v>8519.4</v>
      </c>
      <c r="E13" s="3206">
        <v>23854.32</v>
      </c>
      <c r="F13" s="3206" t="s">
        <v>3070</v>
      </c>
      <c r="G13" s="3205" t="s">
        <v>3041</v>
      </c>
      <c r="H13" s="3205" t="s">
        <v>3061</v>
      </c>
      <c r="I13" s="3207">
        <v>42482</v>
      </c>
      <c r="J13" s="3206">
        <v>2600</v>
      </c>
      <c r="K13" s="3206">
        <v>1089.95</v>
      </c>
      <c r="L13" s="3206">
        <v>0</v>
      </c>
      <c r="M13" s="3204" t="s">
        <v>3071</v>
      </c>
      <c r="P13">
        <f t="shared" si="0"/>
        <v>203.45822475761204</v>
      </c>
    </row>
    <row r="14" spans="1:16" ht="15" thickBot="1">
      <c r="A14" s="3204" t="s">
        <v>3072</v>
      </c>
      <c r="B14" s="3205" t="s">
        <v>3038</v>
      </c>
      <c r="C14" s="3205" t="s">
        <v>3039</v>
      </c>
      <c r="D14" s="3206">
        <v>19334.5</v>
      </c>
      <c r="E14" s="3206">
        <v>77338</v>
      </c>
      <c r="F14" s="3206" t="s">
        <v>3073</v>
      </c>
      <c r="G14" s="3205" t="s">
        <v>3041</v>
      </c>
      <c r="H14" s="3205" t="s">
        <v>3061</v>
      </c>
      <c r="I14" s="3207">
        <v>42397</v>
      </c>
      <c r="J14" s="3206">
        <v>9550</v>
      </c>
      <c r="K14" s="3206">
        <v>1234.83</v>
      </c>
      <c r="L14" s="3206">
        <v>0</v>
      </c>
      <c r="M14" s="3204" t="s">
        <v>3057</v>
      </c>
      <c r="P14">
        <f t="shared" si="0"/>
        <v>329.29212030308514</v>
      </c>
    </row>
    <row r="15" spans="1:16" ht="15" thickBot="1">
      <c r="A15" s="3204" t="s">
        <v>3074</v>
      </c>
      <c r="B15" s="3205" t="s">
        <v>3038</v>
      </c>
      <c r="C15" s="3205" t="s">
        <v>3039</v>
      </c>
      <c r="D15" s="3206">
        <v>7835.68</v>
      </c>
      <c r="E15" s="3206">
        <v>15671.36</v>
      </c>
      <c r="F15" s="3206" t="s">
        <v>3040</v>
      </c>
      <c r="G15" s="3205" t="s">
        <v>3041</v>
      </c>
      <c r="H15" s="3205" t="s">
        <v>3042</v>
      </c>
      <c r="I15" s="3207">
        <v>42332</v>
      </c>
      <c r="J15" s="3206">
        <v>974</v>
      </c>
      <c r="K15" s="3206">
        <v>621.51</v>
      </c>
      <c r="L15" s="3206">
        <v>0</v>
      </c>
      <c r="M15" s="3204" t="s">
        <v>3054</v>
      </c>
      <c r="P15">
        <f t="shared" si="0"/>
        <v>82.86920599105629</v>
      </c>
    </row>
    <row r="16" spans="1:16" ht="15" thickBot="1">
      <c r="A16" s="3204" t="s">
        <v>3075</v>
      </c>
      <c r="B16" s="3205" t="s">
        <v>3038</v>
      </c>
      <c r="C16" s="3205" t="s">
        <v>3039</v>
      </c>
      <c r="D16" s="3206">
        <v>19767.09</v>
      </c>
      <c r="E16" s="3206">
        <v>79068.36</v>
      </c>
      <c r="F16" s="3206" t="s">
        <v>3073</v>
      </c>
      <c r="G16" s="3205" t="s">
        <v>3041</v>
      </c>
      <c r="H16" s="3205" t="s">
        <v>3061</v>
      </c>
      <c r="I16" s="3207">
        <v>42325</v>
      </c>
      <c r="J16" s="3206">
        <v>6200</v>
      </c>
      <c r="K16" s="3206">
        <v>784.12</v>
      </c>
      <c r="L16" s="3206">
        <v>0</v>
      </c>
      <c r="M16" s="3204" t="s">
        <v>3071</v>
      </c>
      <c r="P16">
        <f t="shared" si="0"/>
        <v>209.10280673584225</v>
      </c>
    </row>
  </sheetData>
  <phoneticPr fontId="228" type="noConversion"/>
  <hyperlinks>
    <hyperlink ref="A2" r:id="rId1" tooltip="佛山市高明区明城镇明富路以东、仙峰路以南国有建设用地" display="https://creis.fang.com/land/Detail?sParceliD=0352b967-cd0b-4b19-84d3-3dd1fe82697c"/>
    <hyperlink ref="M2" r:id="rId2" display="https://creis.fang.com/land/Tyc/Index/?sParcelID=0352b967-cd0b-4b19-84d3-3dd1fe82697c"/>
    <hyperlink ref="A3" r:id="rId3" tooltip="佛山市高明区西江新城荷富路以东、明湖北路以北" display="https://creis.fang.com/land/Detail?sParceliD=88bb77a4-bdaa-4e53-850f-3fd7439eb5e1"/>
    <hyperlink ref="M3" r:id="rId4" display="https://creis.fang.com/land/Tyc/Index/?sParcelID=88bb77a4-bdaa-4e53-850f-3fd7439eb5e1"/>
    <hyperlink ref="A4" r:id="rId5" tooltip="佛山市高明区杨和镇滨河三路以东、兴国路以南" display="https://creis.fang.com/land/Detail?sParceliD=f1501779-4341-4805-8d6a-56d76faf7193"/>
    <hyperlink ref="M4" r:id="rId6" display="https://creis.fang.com/land/Tyc/Index/?sParcelID=f1501779-4341-4805-8d6a-56d76faf7193"/>
    <hyperlink ref="A5" r:id="rId7" tooltip="佛山市高明区更合镇经一路以东、合和大道以南" display="https://creis.fang.com/land/Detail?sParceliD=d8720589-9d47-426b-bc6a-19782ca8fc36"/>
    <hyperlink ref="M5" r:id="rId8" display="https://creis.fang.com/land/Tyc/Index/?sParcelID=d8720589-9d47-426b-bc6a-19782ca8fc36"/>
    <hyperlink ref="A6" r:id="rId9" tooltip="佛山市高明区更合镇经一路以东、合和大道以南" display="https://creis.fang.com/land/Detail?sParceliD=f5823289-6f60-4586-b6c5-af5288430372"/>
    <hyperlink ref="M6" r:id="rId10" display="https://creis.fang.com/land/Tyc/Index/?sParcelID=f5823289-6f60-4586-b6c5-af5288430372"/>
    <hyperlink ref="A7" r:id="rId11" tooltip="佛山市高明区西江新城苏河路以东、明湖北路以北" display="https://creis.fang.com/land/Detail?sParceliD=73431f74-7354-4650-a5c1-25ee13008fe7"/>
    <hyperlink ref="M7" r:id="rId12" display="https://creis.fang.com/land/Tyc/Index/?sParcelID=73431f74-7354-4650-a5c1-25ee13008fe7"/>
    <hyperlink ref="A8" r:id="rId13" tooltip="佛山市高明区西江新城苏河路以东、滨湖路以南" display="https://creis.fang.com/land/Detail?sParceliD=cb83e24f-86c6-47c1-a4df-08c35b056d52"/>
    <hyperlink ref="A9" r:id="rId14" tooltip="佛山市高明区西江新城荷富路以东、明湖北路以北" display="https://creis.fang.com/land/Detail?sParceliD=9b61583c-041a-4b80-bb27-c8135ac1ce8c"/>
    <hyperlink ref="M9" r:id="rId15" display="https://creis.fang.com/land/Tyc/Index/?sParcelID=9b61583c-041a-4b80-bb27-c8135ac1ce8c"/>
    <hyperlink ref="A10" r:id="rId16" tooltip="佛山市高明区杨和镇杨西大道以东、高明大道以南" display="https://creis.fang.com/land/Detail?sParceliD=c55cce60-2b49-432d-86c3-f4b9e070d678"/>
    <hyperlink ref="M10" r:id="rId17" display="https://creis.fang.com/land/Tyc/Index/?sParcelID=c55cce60-2b49-432d-86c3-f4b9e070d678"/>
    <hyperlink ref="A11" r:id="rId18" tooltip="佛山市高明区荷城街道纵二路以西、丽江路以北" display="https://creis.fang.com/land/Detail?sParceliD=0f5519b3-5c79-4560-b980-77a0ee03fbab"/>
    <hyperlink ref="M11" r:id="rId19" display="https://creis.fang.com/land/Tyc/Index/?sParcelID=0f5519b3-5c79-4560-b980-77a0ee03fbab"/>
    <hyperlink ref="A12" r:id="rId20" tooltip="佛山市高明区荷城街道丽馥路以南、纵二路以西" display="https://creis.fang.com/land/Detail?sParceliD=e735403b-6373-44cf-aec3-906a923197b2"/>
    <hyperlink ref="M12" r:id="rId21" display="https://creis.fang.com/land/Tyc/Index/?sParcelID=e735403b-6373-44cf-aec3-906a923197b2"/>
    <hyperlink ref="A13" r:id="rId22" tooltip="佛山市高明区荷城街道荷富路以西、高富路以北(GM-F-02-02-04-03" display="https://creis.fang.com/land/Detail?sParceliD=348218ae-28c1-4206-9036-6abbe2bd9c43"/>
    <hyperlink ref="M13" r:id="rId23" display="https://creis.fang.com/land/Tyc/Index/?sParcelID=348218ae-28c1-4206-9036-6abbe2bd9c43"/>
    <hyperlink ref="A14" r:id="rId24" tooltip="佛山市高明区西江新城荷富路以东、丽景东路以南" display="https://creis.fang.com/land/Detail?sParceliD=2a718cc5-fc73-488f-bc93-384b000a36c4"/>
    <hyperlink ref="M14" r:id="rId25" display="https://creis.fang.com/land/Tyc/Index/?sParcelID=2a718cc5-fc73-488f-bc93-384b000a36c4"/>
    <hyperlink ref="A15" r:id="rId26" tooltip="佛山市高明区更合镇古城路以东、环西路以南" display="https://creis.fang.com/land/Detail?sParceliD=1830a81e-e3df-46a1-a93b-583820ed2364"/>
    <hyperlink ref="M15" r:id="rId27" display="https://creis.fang.com/land/Tyc/Index/?sParcelID=1830a81e-e3df-46a1-a93b-583820ed2364"/>
    <hyperlink ref="A16" r:id="rId28" tooltip="佛山市高明区荷城街道荷富路以东GM-F-02-01-03A-02" display="https://creis.fang.com/land/Detail?sParceliD=de6da156-5d8e-49ac-8003-3589044f8017"/>
    <hyperlink ref="M16" r:id="rId29" display="https://creis.fang.com/land/Tyc/Index/?sParcelID=de6da156-5d8e-49ac-8003-3589044f8017"/>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
  <sheetViews>
    <sheetView topLeftCell="A23" workbookViewId="0">
      <selection activeCell="A30" sqref="A30"/>
    </sheetView>
  </sheetViews>
  <sheetFormatPr defaultRowHeight="13.5"/>
  <sheetData/>
  <phoneticPr fontId="228" type="noConversion"/>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2025</v>
      </c>
      <c r="B1" s="3215"/>
      <c r="C1" s="3215"/>
      <c r="D1" s="3215"/>
      <c r="E1" s="3215"/>
      <c r="F1" s="3215"/>
      <c r="G1" s="3215"/>
      <c r="H1" s="3215"/>
      <c r="I1" s="3215"/>
      <c r="J1" s="3215"/>
      <c r="K1" s="3215"/>
      <c r="L1" s="3215"/>
      <c r="M1" s="3215"/>
      <c r="N1" s="3215"/>
      <c r="O1" s="3215"/>
      <c r="P1" s="3215"/>
      <c r="Q1" s="3215"/>
      <c r="R1" s="3215"/>
    </row>
    <row r="2" spans="1:18">
      <c r="A2" s="1791" t="s">
        <v>2027</v>
      </c>
      <c r="B2" s="1791"/>
      <c r="C2" s="1791"/>
      <c r="D2" s="1791"/>
      <c r="E2" s="1791"/>
      <c r="F2" s="1791"/>
      <c r="G2" s="1791"/>
      <c r="H2" s="1791"/>
      <c r="I2" s="1792"/>
      <c r="J2" s="1792"/>
      <c r="K2" s="1793" t="str">
        <f>"估价期日："&amp;TEXT(项目基本情况!D3,"yyyy年m月d日;;")</f>
        <v>估价期日：2020年6月16日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6" t="s">
        <v>2016</v>
      </c>
      <c r="B3" s="3216" t="s">
        <v>2716</v>
      </c>
      <c r="C3" s="3217" t="s">
        <v>2017</v>
      </c>
      <c r="D3" s="3216" t="s">
        <v>2720</v>
      </c>
      <c r="E3" s="3219" t="s">
        <v>2018</v>
      </c>
      <c r="F3" s="3219"/>
      <c r="G3" s="3219"/>
      <c r="H3" s="3219" t="s">
        <v>2019</v>
      </c>
      <c r="I3" s="3219"/>
      <c r="J3" s="3219"/>
      <c r="K3" s="3217" t="s">
        <v>2020</v>
      </c>
      <c r="L3" s="3217" t="s">
        <v>2021</v>
      </c>
      <c r="M3" s="3216" t="s">
        <v>2717</v>
      </c>
      <c r="N3" s="3218" t="str">
        <f>"（分摊）"&amp;项目基本情况!B16&amp;"国有建设用地使用权面积/㎡"</f>
        <v>（分摊）出让国有建设用地使用权面积/㎡</v>
      </c>
      <c r="O3" s="3216" t="s">
        <v>2050</v>
      </c>
      <c r="P3" s="3217" t="s">
        <v>2030</v>
      </c>
      <c r="Q3" s="3217" t="s">
        <v>2051</v>
      </c>
      <c r="R3" s="3217" t="s">
        <v>2022</v>
      </c>
    </row>
    <row r="4" spans="1:18" ht="36.75" customHeight="1">
      <c r="A4" s="3216"/>
      <c r="B4" s="3216"/>
      <c r="C4" s="3217"/>
      <c r="D4" s="3216"/>
      <c r="E4" s="2612" t="s">
        <v>2029</v>
      </c>
      <c r="F4" s="2612" t="s">
        <v>2729</v>
      </c>
      <c r="G4" s="2612" t="s">
        <v>2023</v>
      </c>
      <c r="H4" s="2612" t="s">
        <v>2024</v>
      </c>
      <c r="I4" s="2612" t="s">
        <v>2730</v>
      </c>
      <c r="J4" s="2612" t="s">
        <v>2023</v>
      </c>
      <c r="K4" s="3217"/>
      <c r="L4" s="3217"/>
      <c r="M4" s="3216"/>
      <c r="N4" s="3218"/>
      <c r="O4" s="3216"/>
      <c r="P4" s="3217"/>
      <c r="Q4" s="3217"/>
      <c r="R4" s="3217"/>
    </row>
    <row r="5" spans="1:18" ht="135" customHeight="1">
      <c r="A5" s="1927" t="s">
        <v>2640</v>
      </c>
      <c r="B5" s="2821" t="s">
        <v>2638</v>
      </c>
      <c r="C5" s="2611">
        <v>22</v>
      </c>
      <c r="D5" s="2610" t="s">
        <v>2639</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86744.76</v>
      </c>
      <c r="O5" s="1794">
        <f>项目基本情况!C21</f>
        <v>245924.74</v>
      </c>
      <c r="P5" s="1794">
        <f ca="1">结果表!E42</f>
        <v>4298</v>
      </c>
      <c r="Q5" s="1794">
        <f ca="1">结果表!D42</f>
        <v>1516</v>
      </c>
      <c r="R5" s="1795">
        <f ca="1">结果表!C42</f>
        <v>37287</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6"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6"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796" t="str">
        <f>结果表!O41</f>
        <v>——</v>
      </c>
    </row>
    <row r="9" spans="1:18">
      <c r="A9" s="1797" t="s">
        <v>2028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2015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4" t="s">
        <v>2052</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2053</v>
      </c>
      <c r="B5" s="3223"/>
      <c r="C5" s="3223"/>
      <c r="D5" s="3223"/>
    </row>
    <row r="6" spans="1:4">
      <c r="A6" s="3224" t="s">
        <v>2031</v>
      </c>
      <c r="B6" s="3224"/>
      <c r="C6" s="3224"/>
      <c r="D6" s="3224"/>
    </row>
    <row r="7" spans="1:4" ht="33" customHeight="1">
      <c r="A7" s="3224" t="s">
        <v>2560</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2055</v>
      </c>
      <c r="B12" s="3223"/>
      <c r="C12" s="3223"/>
      <c r="D12" s="3223"/>
    </row>
    <row r="13" spans="1:4">
      <c r="A13" s="3227" t="s">
        <v>2731</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2687</v>
      </c>
      <c r="B17" s="3224"/>
      <c r="C17" s="3224"/>
      <c r="D17" s="3224"/>
    </row>
    <row r="18" spans="1:4">
      <c r="A18" s="3224" t="s">
        <v>2679</v>
      </c>
      <c r="B18" s="3224"/>
      <c r="C18" s="3224"/>
      <c r="D18" s="3224"/>
    </row>
    <row r="19" spans="1:4">
      <c r="A19" s="2822" t="s">
        <v>2680</v>
      </c>
      <c r="B19" s="2822" t="s">
        <v>2681</v>
      </c>
      <c r="C19" s="2822" t="s">
        <v>2682</v>
      </c>
      <c r="D19" s="2822" t="s">
        <v>2683</v>
      </c>
    </row>
    <row r="20" spans="1:4">
      <c r="A20" s="2822" t="str">
        <f>项目基本情况!B4</f>
        <v>土地估价师</v>
      </c>
      <c r="B20" s="2822">
        <f>项目基本情况!C4</f>
        <v>0</v>
      </c>
      <c r="C20" s="2824"/>
      <c r="D20" s="1784" t="s">
        <v>2688</v>
      </c>
    </row>
    <row r="21" spans="1:4">
      <c r="A21" s="2822" t="str">
        <f>项目基本情况!D4</f>
        <v>土地估价师</v>
      </c>
      <c r="B21" s="2822">
        <f>项目基本情况!E4</f>
        <v>0</v>
      </c>
      <c r="C21" s="2824"/>
      <c r="D21" s="1784" t="s">
        <v>2689</v>
      </c>
    </row>
    <row r="23" spans="1:4">
      <c r="A23" s="3224" t="s">
        <v>2684</v>
      </c>
      <c r="B23" s="3224"/>
      <c r="C23" s="3224"/>
      <c r="D23" s="3224"/>
    </row>
    <row r="24" spans="1:4">
      <c r="A24" s="2822" t="s">
        <v>2680</v>
      </c>
      <c r="B24" s="2822" t="s">
        <v>2685</v>
      </c>
      <c r="C24" s="2822" t="s">
        <v>2682</v>
      </c>
      <c r="D24" s="2822" t="s">
        <v>2683</v>
      </c>
    </row>
    <row r="25" spans="1:4">
      <c r="A25" s="2825" t="s">
        <v>2686</v>
      </c>
      <c r="B25" s="2822" t="s">
        <v>941</v>
      </c>
      <c r="C25" s="2824"/>
      <c r="D25" s="1784" t="s">
        <v>2689</v>
      </c>
    </row>
    <row r="29" spans="1:4">
      <c r="D29" s="2823" t="s">
        <v>2026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861</v>
      </c>
    </row>
    <row r="13" spans="1:7">
      <c r="A13" s="1166" t="s">
        <v>52</v>
      </c>
    </row>
    <row r="15" spans="1:7" ht="14.25">
      <c r="A15" s="3235" t="s">
        <v>53</v>
      </c>
      <c r="B15" s="3236" t="s">
        <v>835</v>
      </c>
      <c r="C15" s="3232"/>
    </row>
    <row r="16" spans="1:7" ht="14.25">
      <c r="A16" s="3235"/>
      <c r="B16" s="3233" t="s">
        <v>54</v>
      </c>
      <c r="C16" s="1167" t="s">
        <v>53</v>
      </c>
    </row>
    <row r="17" spans="1:3" ht="14.25">
      <c r="A17" s="3235"/>
      <c r="B17" s="3233"/>
      <c r="C17" s="1167" t="s">
        <v>55</v>
      </c>
    </row>
    <row r="18" spans="1:3" ht="14.25">
      <c r="A18" s="3235"/>
      <c r="B18" s="3233"/>
      <c r="C18" s="1167" t="s">
        <v>56</v>
      </c>
    </row>
    <row r="19" spans="1:3" ht="14.25">
      <c r="A19" s="3235"/>
      <c r="B19" s="3231" t="s">
        <v>57</v>
      </c>
      <c r="C19" s="3232"/>
    </row>
    <row r="20" spans="1:3" ht="14.25">
      <c r="A20" s="1168" t="s">
        <v>58</v>
      </c>
      <c r="B20" s="1169"/>
      <c r="C20" s="1170"/>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1" t="s">
        <v>826</v>
      </c>
    </row>
    <row r="25" spans="1:3" ht="14.25">
      <c r="A25" s="3234"/>
      <c r="B25" s="3238"/>
      <c r="C25" s="1171" t="s">
        <v>827</v>
      </c>
    </row>
    <row r="26" spans="1:3" ht="14.25">
      <c r="A26" s="3234"/>
      <c r="B26" s="3238"/>
      <c r="C26" s="1171" t="s">
        <v>828</v>
      </c>
    </row>
    <row r="27" spans="1:3" ht="14.25">
      <c r="A27" s="3234"/>
      <c r="B27" s="3238"/>
      <c r="C27" s="1171" t="s">
        <v>829</v>
      </c>
    </row>
    <row r="28" spans="1:3" ht="14.25">
      <c r="A28" s="3234"/>
      <c r="B28" s="3238"/>
      <c r="C28" s="1171" t="s">
        <v>830</v>
      </c>
    </row>
    <row r="29" spans="1:3" ht="14.25">
      <c r="A29" s="3234"/>
      <c r="B29" s="3238"/>
      <c r="C29" s="1171" t="s">
        <v>831</v>
      </c>
    </row>
    <row r="30" spans="1:3" ht="14.25">
      <c r="A30" s="3234"/>
      <c r="B30" s="3238"/>
      <c r="C30" s="1171" t="s">
        <v>832</v>
      </c>
    </row>
    <row r="31" spans="1:3" ht="14.25">
      <c r="A31" s="3234"/>
      <c r="B31" s="3238"/>
      <c r="C31" s="1171" t="s">
        <v>833</v>
      </c>
    </row>
    <row r="32" spans="1:3" ht="14.25">
      <c r="A32" s="3234"/>
      <c r="B32" s="3238"/>
      <c r="C32" s="1171" t="s">
        <v>1635</v>
      </c>
    </row>
    <row r="33" spans="1:3" ht="14.25">
      <c r="A33" s="3234"/>
      <c r="B33" s="3228" t="s">
        <v>1641</v>
      </c>
      <c r="C33" s="1171" t="s">
        <v>1636</v>
      </c>
    </row>
    <row r="34" spans="1:3" ht="14.25">
      <c r="A34" s="3234"/>
      <c r="B34" s="3229"/>
      <c r="C34" s="1176" t="s">
        <v>1637</v>
      </c>
    </row>
    <row r="35" spans="1:3" ht="14.25">
      <c r="A35" s="3234"/>
      <c r="B35" s="3229"/>
      <c r="C35" s="1177" t="s">
        <v>1638</v>
      </c>
    </row>
    <row r="36" spans="1:3" ht="14.25">
      <c r="A36" s="3234"/>
      <c r="B36" s="3229"/>
      <c r="C36" s="1177" t="s">
        <v>1639</v>
      </c>
    </row>
    <row r="37" spans="1:3" ht="14.25">
      <c r="A37" s="3234"/>
      <c r="B37" s="3230"/>
      <c r="C37" s="1178" t="s">
        <v>1640</v>
      </c>
    </row>
    <row r="38" spans="1:3">
      <c r="A38" s="1172" t="s">
        <v>834</v>
      </c>
    </row>
    <row r="41" spans="1:3">
      <c r="A41" s="1172" t="s">
        <v>68</v>
      </c>
    </row>
    <row r="42" spans="1:3" ht="14.25">
      <c r="A42" s="1173" t="s">
        <v>842</v>
      </c>
    </row>
    <row r="43" spans="1:3" ht="14.25">
      <c r="A43" s="1174" t="s">
        <v>69</v>
      </c>
    </row>
    <row r="44" spans="1:3" ht="14.25">
      <c r="A44" s="1173" t="s">
        <v>841</v>
      </c>
    </row>
    <row r="45" spans="1:3" ht="14.25">
      <c r="A45" s="1175" t="s">
        <v>843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1896</v>
      </c>
      <c r="B2" s="3120">
        <f ca="1">TODAY()</f>
        <v>43999</v>
      </c>
      <c r="C2" s="3121" t="s">
        <v>1897</v>
      </c>
      <c r="D2" s="3121"/>
    </row>
    <row r="3" spans="1:6" ht="20.25" customHeight="1">
      <c r="A3" s="3123" t="s">
        <v>1898</v>
      </c>
      <c r="B3" s="3124" t="s">
        <v>1899</v>
      </c>
      <c r="C3" s="3124" t="s">
        <v>1900</v>
      </c>
      <c r="D3" s="3125" t="s">
        <v>1901</v>
      </c>
      <c r="E3" s="3124" t="s">
        <v>1902</v>
      </c>
      <c r="F3" s="3124" t="s">
        <v>1900</v>
      </c>
    </row>
    <row r="4" spans="1:6" ht="20.25" customHeight="1">
      <c r="A4" s="3124" t="s">
        <v>1903</v>
      </c>
      <c r="B4" s="3124">
        <f ca="1">IF(C4&lt;B2,"已过期",1119970066)</f>
        <v>1119970066</v>
      </c>
      <c r="C4" s="3126">
        <v>44876</v>
      </c>
      <c r="D4" s="3124" t="s">
        <v>1903</v>
      </c>
      <c r="E4" s="3124">
        <f ca="1">IF(F4&lt;B2,"已过期",96010014)</f>
        <v>96010014</v>
      </c>
      <c r="F4" s="3127">
        <v>47118</v>
      </c>
    </row>
    <row r="5" spans="1:6" ht="20.25" customHeight="1">
      <c r="A5" s="3124"/>
      <c r="B5" s="3124"/>
      <c r="C5" s="3126"/>
      <c r="D5" s="3124"/>
      <c r="E5" s="3124"/>
      <c r="F5" s="3127"/>
    </row>
    <row r="6" spans="1:6" ht="20.25" customHeight="1">
      <c r="A6" s="3124" t="s">
        <v>1904</v>
      </c>
      <c r="B6" s="3124">
        <f ca="1">IF(C6&lt;B2,"已过期",1119970111)</f>
        <v>1119970111</v>
      </c>
      <c r="C6" s="3126">
        <v>44876</v>
      </c>
      <c r="D6" s="3124" t="s">
        <v>1904</v>
      </c>
      <c r="E6" s="3124">
        <f ca="1">IF(F6&lt;B2,"已过期",94010078)</f>
        <v>94010078</v>
      </c>
      <c r="F6" s="3127">
        <v>46387</v>
      </c>
    </row>
    <row r="7" spans="1:6" ht="20.25" customHeight="1">
      <c r="A7" s="3124" t="s">
        <v>1905</v>
      </c>
      <c r="B7" s="3124">
        <f ca="1">IF(C7&lt;B2,"已过期",1120050019)</f>
        <v>1120050019</v>
      </c>
      <c r="C7" s="3126">
        <v>44395</v>
      </c>
      <c r="D7" s="3124" t="s">
        <v>1905</v>
      </c>
      <c r="E7" s="3124">
        <f ca="1">IF(F7&lt;B2,"已过期",2002110030)</f>
        <v>2002110030</v>
      </c>
      <c r="F7" s="3127">
        <v>46387</v>
      </c>
    </row>
    <row r="8" spans="1:6" ht="20.25" customHeight="1">
      <c r="A8" s="3124" t="s">
        <v>1906</v>
      </c>
      <c r="B8" s="3124">
        <f ca="1">IF(C8&lt;B2,"已过期",1120000080)</f>
        <v>1120000080</v>
      </c>
      <c r="C8" s="3126">
        <v>44876</v>
      </c>
      <c r="D8" s="3124" t="s">
        <v>1906</v>
      </c>
      <c r="E8" s="3124">
        <f ca="1">IF(F8&lt;B2,"已过期",2000110082)</f>
        <v>2000110082</v>
      </c>
      <c r="F8" s="3127">
        <v>46387</v>
      </c>
    </row>
    <row r="9" spans="1:6" ht="20.25" customHeight="1">
      <c r="A9" s="3124" t="s">
        <v>1907</v>
      </c>
      <c r="B9" s="3124">
        <f ca="1">IF(C9&lt;B2,"已过期",1419970001)</f>
        <v>1419970001</v>
      </c>
      <c r="C9" s="3126">
        <v>44899</v>
      </c>
      <c r="D9" s="3124" t="s">
        <v>1907</v>
      </c>
      <c r="E9" s="3124">
        <f ca="1">IF(F9&lt;B2,"已过期",2002110125)</f>
        <v>2002110125</v>
      </c>
      <c r="F9" s="3127">
        <v>47118</v>
      </c>
    </row>
    <row r="10" spans="1:6" ht="20.25" customHeight="1">
      <c r="A10" s="3124" t="s">
        <v>1908</v>
      </c>
      <c r="B10" s="3124">
        <f ca="1">IF(C10&lt;B2,"已过期",1120060040)</f>
        <v>1120060040</v>
      </c>
      <c r="C10" s="3126">
        <v>44554</v>
      </c>
      <c r="D10" s="3124" t="s">
        <v>1908</v>
      </c>
      <c r="E10" s="3124">
        <f ca="1">IF(F10&lt;B2,"已过期",2004110096)</f>
        <v>2004110096</v>
      </c>
      <c r="F10" s="3127">
        <v>47118</v>
      </c>
    </row>
    <row r="11" spans="1:6" ht="20.25" customHeight="1">
      <c r="A11" s="3124" t="s">
        <v>1909</v>
      </c>
      <c r="B11" s="3124">
        <f ca="1">IF(C11&lt;B2,"已过期",1120100036)</f>
        <v>1120100036</v>
      </c>
      <c r="C11" s="3126">
        <v>44675</v>
      </c>
      <c r="D11" s="3124" t="s">
        <v>1909</v>
      </c>
      <c r="E11" s="3124">
        <f ca="1">IF(F11&lt;B2,"已过期",2010110070)</f>
        <v>2010110070</v>
      </c>
      <c r="F11" s="3127">
        <v>47907</v>
      </c>
    </row>
    <row r="12" spans="1:6" ht="20.25" customHeight="1">
      <c r="A12" s="3124"/>
      <c r="B12" s="3124"/>
      <c r="C12" s="3126"/>
      <c r="D12" s="3124"/>
      <c r="E12" s="3124"/>
      <c r="F12" s="3127"/>
    </row>
    <row r="13" spans="1:6" ht="20.25" customHeight="1">
      <c r="A13" s="3124" t="s">
        <v>1910</v>
      </c>
      <c r="B13" s="3124">
        <f ca="1">IF(C13&lt;B2,"已过期",1120070131)</f>
        <v>1120070131</v>
      </c>
      <c r="C13" s="3126">
        <v>44849</v>
      </c>
      <c r="D13" s="3124" t="s">
        <v>1910</v>
      </c>
      <c r="E13" s="3124">
        <f ca="1">IF(F13&lt;B2,"已过期",2014110011)</f>
        <v>2014110011</v>
      </c>
      <c r="F13" s="3127">
        <v>49302</v>
      </c>
    </row>
    <row r="14" spans="1:6" ht="20.25" customHeight="1">
      <c r="A14" s="3124" t="s">
        <v>2967</v>
      </c>
      <c r="B14" s="3124">
        <f ca="1">IF(C14&lt;B2,"已过期",1120040230)</f>
        <v>1120040230</v>
      </c>
      <c r="C14" s="3128">
        <v>44864</v>
      </c>
      <c r="D14" s="3129" t="s">
        <v>2968</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2981</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1911</v>
      </c>
      <c r="E21" s="3124">
        <f ca="1">IF(F21&lt;B2,"已过期",2011110090)</f>
        <v>2011110090</v>
      </c>
      <c r="F21" s="3127">
        <v>48302</v>
      </c>
    </row>
    <row r="22" spans="1:7" ht="20.25" customHeight="1">
      <c r="A22" s="3124" t="s">
        <v>1912</v>
      </c>
      <c r="B22" s="3124">
        <f ca="1">IF(C22&lt;B2,"已过期",1120020033)</f>
        <v>1120020033</v>
      </c>
      <c r="C22" s="3126">
        <v>44339</v>
      </c>
      <c r="D22" s="3124" t="s">
        <v>1912</v>
      </c>
      <c r="E22" s="3124">
        <f ca="1">IF(F22&lt;B2,"已过期",2000110137)</f>
        <v>2000110137</v>
      </c>
      <c r="F22" s="3127">
        <v>46387</v>
      </c>
    </row>
    <row r="23" spans="1:7" ht="20.25" customHeight="1">
      <c r="A23" s="3124" t="s">
        <v>2983</v>
      </c>
      <c r="B23" s="3124">
        <v>1119980106</v>
      </c>
      <c r="C23" s="3126">
        <v>44969</v>
      </c>
      <c r="D23" s="3124"/>
      <c r="E23" s="3124"/>
      <c r="F23" s="3124"/>
    </row>
    <row r="24" spans="1:7" s="3132" customFormat="1" ht="20.25" customHeight="1">
      <c r="A24" s="3123" t="s">
        <v>2040</v>
      </c>
      <c r="B24" s="3123" t="s">
        <v>2040</v>
      </c>
      <c r="C24" s="3126"/>
      <c r="D24" s="3131" t="s">
        <v>2040</v>
      </c>
      <c r="E24" s="3123" t="s">
        <v>2040</v>
      </c>
      <c r="F24" s="3130"/>
    </row>
    <row r="25" spans="1:7" ht="20.25" customHeight="1">
      <c r="A25" s="3239" t="s">
        <v>1913</v>
      </c>
      <c r="B25" s="3239"/>
      <c r="C25" s="3239"/>
      <c r="D25" s="3239"/>
      <c r="E25" s="3239"/>
      <c r="F25" s="3239"/>
      <c r="G25" s="3239"/>
    </row>
    <row r="26" spans="1:7" ht="20.25" customHeight="1">
      <c r="A26" s="3240" t="s">
        <v>1914</v>
      </c>
      <c r="B26" s="3240"/>
      <c r="C26" s="3240"/>
      <c r="D26" s="3240" t="s">
        <v>1915</v>
      </c>
      <c r="E26" s="3240"/>
      <c r="F26" s="3240"/>
    </row>
    <row r="27" spans="1:7" s="3119" customFormat="1" ht="20.25" customHeight="1">
      <c r="A27" s="3133" t="s">
        <v>1916</v>
      </c>
      <c r="B27" s="3134" t="s">
        <v>1917</v>
      </c>
      <c r="C27" s="3134" t="s">
        <v>1918</v>
      </c>
      <c r="D27" s="3124" t="s">
        <v>1916</v>
      </c>
      <c r="E27" s="3134" t="s">
        <v>1917</v>
      </c>
      <c r="F27" s="3134" t="s">
        <v>1918</v>
      </c>
    </row>
    <row r="28" spans="1:7" s="3119" customFormat="1" ht="20.25" customHeight="1">
      <c r="A28" s="3135" t="s">
        <v>1919</v>
      </c>
      <c r="B28" s="3135" t="s">
        <v>1920</v>
      </c>
      <c r="C28" s="3127">
        <v>44820</v>
      </c>
      <c r="D28" s="3135" t="s">
        <v>1921</v>
      </c>
      <c r="E28" s="3135" t="s">
        <v>1922</v>
      </c>
      <c r="F28" s="3136">
        <v>44377</v>
      </c>
    </row>
    <row r="29" spans="1:7" s="3119" customFormat="1" ht="20.25" customHeight="1">
      <c r="A29" s="3135"/>
      <c r="B29" s="3135"/>
      <c r="C29" s="3137"/>
      <c r="D29" s="3135" t="s">
        <v>1923</v>
      </c>
      <c r="E29" s="3135" t="s">
        <v>2982</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15" sqref="AB15"/>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845</v>
      </c>
      <c r="B1" s="5" t="s">
        <v>123</v>
      </c>
      <c r="C1" s="1535" t="s">
        <v>1697</v>
      </c>
      <c r="D1" s="6" t="s">
        <v>124</v>
      </c>
      <c r="E1" s="6" t="s">
        <v>125</v>
      </c>
      <c r="F1" s="6" t="s">
        <v>126</v>
      </c>
      <c r="G1" s="6" t="s">
        <v>127</v>
      </c>
      <c r="H1" s="6" t="s">
        <v>128</v>
      </c>
      <c r="I1" s="6" t="s">
        <v>129</v>
      </c>
      <c r="J1" s="6" t="s">
        <v>130</v>
      </c>
      <c r="K1" s="6" t="s">
        <v>131</v>
      </c>
      <c r="L1" s="6" t="s">
        <v>132</v>
      </c>
      <c r="M1" s="6" t="s">
        <v>133</v>
      </c>
      <c r="N1" s="6" t="s">
        <v>134</v>
      </c>
      <c r="O1" s="6" t="s">
        <v>135</v>
      </c>
      <c r="P1" s="6" t="s">
        <v>136</v>
      </c>
      <c r="Q1" s="2546" t="s">
        <v>2531</v>
      </c>
      <c r="R1" s="2545" t="s">
        <v>2525</v>
      </c>
      <c r="S1" s="6" t="s">
        <v>137</v>
      </c>
      <c r="T1" s="7" t="s">
        <v>138</v>
      </c>
      <c r="U1" s="6" t="s">
        <v>139</v>
      </c>
      <c r="V1" s="6" t="s">
        <v>140</v>
      </c>
      <c r="W1" s="1003" t="s">
        <v>863</v>
      </c>
    </row>
    <row r="2" spans="1:23">
      <c r="A2" s="1144" t="s">
        <v>3105</v>
      </c>
      <c r="B2" s="8" t="s">
        <v>141</v>
      </c>
      <c r="C2" s="1536" t="s">
        <v>1698</v>
      </c>
      <c r="D2" s="9" t="s">
        <v>73</v>
      </c>
      <c r="E2" s="9" t="s">
        <v>118</v>
      </c>
      <c r="F2" s="9" t="s">
        <v>119</v>
      </c>
      <c r="G2" s="9">
        <v>40</v>
      </c>
      <c r="H2" s="9" t="s">
        <v>120</v>
      </c>
      <c r="I2" s="9" t="s">
        <v>121</v>
      </c>
      <c r="J2" s="9" t="s">
        <v>122</v>
      </c>
      <c r="K2" s="9" t="s">
        <v>74</v>
      </c>
      <c r="L2" s="9" t="s">
        <v>74</v>
      </c>
      <c r="M2" s="9" t="s">
        <v>74</v>
      </c>
      <c r="N2" s="9" t="s">
        <v>74</v>
      </c>
      <c r="O2" s="9" t="s">
        <v>74</v>
      </c>
      <c r="P2" s="1005" t="s">
        <v>869</v>
      </c>
      <c r="Q2" s="9" t="s">
        <v>74</v>
      </c>
      <c r="R2" s="1005" t="s">
        <v>2526</v>
      </c>
      <c r="S2" s="9" t="s">
        <v>74</v>
      </c>
      <c r="T2" s="9" t="s">
        <v>75</v>
      </c>
      <c r="U2" s="9" t="s">
        <v>74</v>
      </c>
      <c r="V2" s="9" t="s">
        <v>76</v>
      </c>
      <c r="W2" s="9" t="s">
        <v>864</v>
      </c>
    </row>
    <row r="3" spans="1:23">
      <c r="A3" s="3057" t="s">
        <v>3106</v>
      </c>
      <c r="B3" s="10" t="s">
        <v>142</v>
      </c>
      <c r="C3" s="1537" t="s">
        <v>1699</v>
      </c>
      <c r="D3" s="9" t="s">
        <v>77</v>
      </c>
      <c r="E3" s="9" t="s">
        <v>6</v>
      </c>
      <c r="F3" s="9" t="s">
        <v>78</v>
      </c>
      <c r="G3" s="9">
        <v>50</v>
      </c>
      <c r="H3" s="9" t="s">
        <v>79</v>
      </c>
      <c r="I3" s="9" t="s">
        <v>80</v>
      </c>
      <c r="J3" s="9" t="s">
        <v>81</v>
      </c>
      <c r="K3" s="9" t="s">
        <v>82</v>
      </c>
      <c r="L3" s="9" t="s">
        <v>82</v>
      </c>
      <c r="M3" s="9" t="s">
        <v>82</v>
      </c>
      <c r="N3" s="9" t="s">
        <v>82</v>
      </c>
      <c r="O3" s="9" t="s">
        <v>82</v>
      </c>
      <c r="P3" s="1005" t="s">
        <v>591</v>
      </c>
      <c r="Q3" s="9" t="s">
        <v>82</v>
      </c>
      <c r="R3" s="1005" t="s">
        <v>2527</v>
      </c>
      <c r="S3" s="9" t="s">
        <v>82</v>
      </c>
      <c r="T3" s="9" t="s">
        <v>83</v>
      </c>
      <c r="U3" s="9" t="s">
        <v>82</v>
      </c>
      <c r="V3" s="9" t="s">
        <v>84</v>
      </c>
      <c r="W3" s="9" t="s">
        <v>865</v>
      </c>
    </row>
    <row r="4" spans="1:23">
      <c r="A4" s="1144" t="s">
        <v>3107</v>
      </c>
      <c r="B4" s="8" t="s">
        <v>143</v>
      </c>
      <c r="C4" s="1536" t="s">
        <v>1700</v>
      </c>
      <c r="D4" s="9" t="s">
        <v>1981</v>
      </c>
      <c r="E4" s="9" t="s">
        <v>85</v>
      </c>
      <c r="F4" s="9" t="s">
        <v>86</v>
      </c>
      <c r="G4" s="9">
        <v>70</v>
      </c>
      <c r="H4" s="9" t="s">
        <v>87</v>
      </c>
      <c r="I4" s="9" t="s">
        <v>88</v>
      </c>
      <c r="K4" s="9" t="s">
        <v>89</v>
      </c>
      <c r="L4" s="9" t="s">
        <v>89</v>
      </c>
      <c r="M4" s="9" t="s">
        <v>89</v>
      </c>
      <c r="N4" s="9" t="s">
        <v>89</v>
      </c>
      <c r="O4" s="9" t="s">
        <v>89</v>
      </c>
      <c r="P4" s="1005" t="s">
        <v>751</v>
      </c>
      <c r="Q4" s="9" t="s">
        <v>89</v>
      </c>
      <c r="R4" s="1005" t="s">
        <v>2528</v>
      </c>
      <c r="S4" s="9" t="s">
        <v>89</v>
      </c>
      <c r="T4" s="9" t="s">
        <v>90</v>
      </c>
      <c r="U4" s="9" t="s">
        <v>89</v>
      </c>
      <c r="W4" s="9" t="s">
        <v>866</v>
      </c>
    </row>
    <row r="5" spans="1:23">
      <c r="A5" s="1144" t="s">
        <v>3108</v>
      </c>
      <c r="B5" s="8" t="s">
        <v>144</v>
      </c>
      <c r="C5" s="1536" t="s">
        <v>1701</v>
      </c>
      <c r="F5" s="9" t="s">
        <v>91</v>
      </c>
      <c r="H5" s="9" t="s">
        <v>70</v>
      </c>
      <c r="I5" s="9" t="s">
        <v>92</v>
      </c>
      <c r="K5" s="9" t="s">
        <v>93</v>
      </c>
      <c r="L5" s="9" t="s">
        <v>93</v>
      </c>
      <c r="M5" s="9" t="s">
        <v>93</v>
      </c>
      <c r="N5" s="9" t="s">
        <v>93</v>
      </c>
      <c r="O5" s="9" t="s">
        <v>93</v>
      </c>
      <c r="P5" s="1005" t="s">
        <v>537</v>
      </c>
      <c r="Q5" s="9" t="s">
        <v>93</v>
      </c>
      <c r="R5" s="1005" t="s">
        <v>2529</v>
      </c>
      <c r="S5" s="9" t="s">
        <v>93</v>
      </c>
      <c r="T5" s="9" t="s">
        <v>94</v>
      </c>
      <c r="U5" s="9" t="s">
        <v>93</v>
      </c>
      <c r="W5" s="9" t="s">
        <v>867</v>
      </c>
    </row>
    <row r="6" spans="1:23">
      <c r="A6" s="1144" t="s">
        <v>3109</v>
      </c>
      <c r="B6" s="1144" t="s">
        <v>1629</v>
      </c>
      <c r="C6" s="1538" t="s">
        <v>1702</v>
      </c>
      <c r="F6" s="9" t="s">
        <v>71</v>
      </c>
      <c r="H6" s="9" t="s">
        <v>72</v>
      </c>
      <c r="I6" s="9" t="s">
        <v>95</v>
      </c>
      <c r="K6" s="9" t="s">
        <v>96</v>
      </c>
      <c r="L6" s="9" t="s">
        <v>96</v>
      </c>
      <c r="M6" s="9" t="s">
        <v>96</v>
      </c>
      <c r="N6" s="9" t="s">
        <v>96</v>
      </c>
      <c r="O6" s="9" t="s">
        <v>96</v>
      </c>
      <c r="P6" s="1005" t="s">
        <v>870</v>
      </c>
      <c r="Q6" s="9" t="s">
        <v>96</v>
      </c>
      <c r="R6" s="1005" t="s">
        <v>2530</v>
      </c>
      <c r="S6" s="9" t="s">
        <v>96</v>
      </c>
      <c r="T6" s="9"/>
      <c r="U6" s="9" t="s">
        <v>96</v>
      </c>
      <c r="W6" s="9" t="s">
        <v>868</v>
      </c>
    </row>
    <row r="7" spans="1:23">
      <c r="A7" s="1144" t="s">
        <v>3110</v>
      </c>
      <c r="B7" s="8" t="s">
        <v>97</v>
      </c>
      <c r="C7" s="1536" t="s">
        <v>1703</v>
      </c>
      <c r="F7" s="9" t="s">
        <v>145</v>
      </c>
      <c r="H7" s="9" t="s">
        <v>98</v>
      </c>
      <c r="I7" s="9" t="s">
        <v>99</v>
      </c>
    </row>
    <row r="8" spans="1:23">
      <c r="A8" s="1144" t="s">
        <v>3111</v>
      </c>
      <c r="B8" s="8" t="s">
        <v>100</v>
      </c>
      <c r="C8" s="1536" t="s">
        <v>1704</v>
      </c>
      <c r="F8" s="9" t="s">
        <v>146</v>
      </c>
      <c r="H8" s="9"/>
      <c r="I8" s="9" t="s">
        <v>101</v>
      </c>
    </row>
    <row r="9" spans="1:23">
      <c r="A9" s="1144" t="s">
        <v>3112</v>
      </c>
      <c r="B9" s="8" t="s">
        <v>147</v>
      </c>
      <c r="C9" s="1536" t="s">
        <v>1705</v>
      </c>
      <c r="F9" s="9" t="s">
        <v>102</v>
      </c>
      <c r="H9" s="9"/>
    </row>
    <row r="10" spans="1:23">
      <c r="A10" s="1144" t="s">
        <v>3113</v>
      </c>
      <c r="B10" s="8" t="s">
        <v>148</v>
      </c>
      <c r="C10" s="1536" t="s">
        <v>1706</v>
      </c>
      <c r="F10" s="9" t="s">
        <v>6</v>
      </c>
    </row>
    <row r="11" spans="1:23">
      <c r="A11" s="8" t="s">
        <v>103</v>
      </c>
      <c r="B11" s="8" t="s">
        <v>149</v>
      </c>
      <c r="C11" s="1536" t="s">
        <v>1707</v>
      </c>
    </row>
    <row r="12" spans="1:23">
      <c r="A12" s="8" t="s">
        <v>104</v>
      </c>
      <c r="B12" s="8" t="s">
        <v>150</v>
      </c>
      <c r="C12" s="1536" t="s">
        <v>1708</v>
      </c>
    </row>
    <row r="13" spans="1:23">
      <c r="A13" s="8" t="s">
        <v>105</v>
      </c>
      <c r="B13" s="8" t="s">
        <v>151</v>
      </c>
      <c r="C13" s="1536" t="s">
        <v>1709</v>
      </c>
    </row>
    <row r="14" spans="1:23">
      <c r="A14" s="8" t="s">
        <v>106</v>
      </c>
      <c r="B14" s="8" t="s">
        <v>152</v>
      </c>
      <c r="C14" s="1539" t="s">
        <v>1885</v>
      </c>
    </row>
    <row r="15" spans="1:23">
      <c r="A15" s="8" t="s">
        <v>107</v>
      </c>
      <c r="B15" s="8" t="s">
        <v>1670</v>
      </c>
      <c r="C15" s="1539"/>
    </row>
    <row r="16" spans="1:23">
      <c r="A16" s="8" t="s">
        <v>108</v>
      </c>
      <c r="B16" s="8" t="s">
        <v>1671</v>
      </c>
      <c r="C16" s="1539"/>
    </row>
    <row r="17" spans="1:3">
      <c r="A17" s="8" t="s">
        <v>109</v>
      </c>
      <c r="B17" s="8" t="s">
        <v>1672</v>
      </c>
      <c r="C17" s="1539"/>
    </row>
    <row r="18" spans="1:3">
      <c r="A18" s="8" t="s">
        <v>110</v>
      </c>
      <c r="B18" s="3057" t="s">
        <v>2941</v>
      </c>
      <c r="C18" s="1539"/>
    </row>
    <row r="19" spans="1:3">
      <c r="A19" s="8" t="s">
        <v>111</v>
      </c>
      <c r="B19" s="3057" t="s">
        <v>2949</v>
      </c>
      <c r="C19" s="1539"/>
    </row>
    <row r="20" spans="1:3">
      <c r="A20" s="8" t="s">
        <v>112</v>
      </c>
      <c r="B20" s="8" t="s">
        <v>3126</v>
      </c>
      <c r="C20" s="1539"/>
    </row>
    <row r="21" spans="1:3">
      <c r="A21" s="8" t="s">
        <v>113</v>
      </c>
      <c r="B21" s="8" t="s">
        <v>1630</v>
      </c>
      <c r="C21" s="1539"/>
    </row>
    <row r="22" spans="1:3">
      <c r="A22" s="8" t="s">
        <v>114</v>
      </c>
      <c r="B22" s="8" t="s">
        <v>1630</v>
      </c>
      <c r="C22" s="1539"/>
    </row>
    <row r="23" spans="1:3">
      <c r="A23" s="8" t="s">
        <v>115</v>
      </c>
      <c r="B23" s="8" t="s">
        <v>1630</v>
      </c>
      <c r="C23" s="1539"/>
    </row>
    <row r="24" spans="1:3">
      <c r="A24" s="8" t="s">
        <v>12</v>
      </c>
      <c r="B24" s="8" t="s">
        <v>1630</v>
      </c>
      <c r="C24" s="1539"/>
    </row>
    <row r="25" spans="1:3">
      <c r="A25" s="8" t="s">
        <v>116</v>
      </c>
      <c r="B25" s="8" t="s">
        <v>1630</v>
      </c>
      <c r="C25" s="1539"/>
    </row>
    <row r="26" spans="1:3">
      <c r="A26" s="8" t="s">
        <v>117</v>
      </c>
      <c r="B26" s="8" t="s">
        <v>1630</v>
      </c>
      <c r="C26" s="1539"/>
    </row>
    <row r="27" spans="1:3">
      <c r="A27" s="8" t="s">
        <v>1630</v>
      </c>
      <c r="B27" s="8" t="s">
        <v>1630</v>
      </c>
      <c r="C27" s="1539"/>
    </row>
    <row r="28" spans="1:3">
      <c r="A28" s="8" t="s">
        <v>1630</v>
      </c>
      <c r="B28" s="8" t="s">
        <v>1630</v>
      </c>
      <c r="C28" s="1539"/>
    </row>
    <row r="29" spans="1:3">
      <c r="A29" s="8" t="s">
        <v>1630</v>
      </c>
      <c r="B29" s="8" t="s">
        <v>1630</v>
      </c>
      <c r="C29" s="1539"/>
    </row>
    <row r="30" spans="1:3">
      <c r="A30" s="8" t="s">
        <v>1630</v>
      </c>
      <c r="B30" s="8" t="s">
        <v>1630</v>
      </c>
      <c r="C30" s="1539"/>
    </row>
    <row r="31" spans="1:3">
      <c r="A31" s="8" t="s">
        <v>1630</v>
      </c>
      <c r="B31" s="8" t="s">
        <v>1630</v>
      </c>
      <c r="C31" s="1539"/>
    </row>
    <row r="32" spans="1:3">
      <c r="A32" s="8" t="s">
        <v>1630</v>
      </c>
      <c r="B32" s="8" t="s">
        <v>1630</v>
      </c>
      <c r="C32" s="1539"/>
    </row>
    <row r="33" spans="1:3">
      <c r="A33" s="8" t="s">
        <v>1630</v>
      </c>
      <c r="B33" s="8" t="s">
        <v>1630</v>
      </c>
      <c r="C33" s="1539"/>
    </row>
    <row r="34" spans="1:3">
      <c r="A34" s="8" t="s">
        <v>1630</v>
      </c>
      <c r="B34" s="8" t="s">
        <v>1630</v>
      </c>
      <c r="C34" s="1539"/>
    </row>
    <row r="35" spans="1:3">
      <c r="A35" s="8" t="s">
        <v>1630</v>
      </c>
      <c r="B35" s="8" t="s">
        <v>1630</v>
      </c>
      <c r="C35" s="1539"/>
    </row>
    <row r="36" spans="1:3">
      <c r="A36" s="8" t="s">
        <v>1630</v>
      </c>
      <c r="B36" s="8" t="s">
        <v>1630</v>
      </c>
      <c r="C36" s="1539"/>
    </row>
    <row r="37" spans="1:3">
      <c r="A37" s="8" t="s">
        <v>1630</v>
      </c>
      <c r="B37" s="8" t="s">
        <v>1630</v>
      </c>
      <c r="C37" s="1539"/>
    </row>
    <row r="38" spans="1:3">
      <c r="A38" s="8" t="s">
        <v>1630</v>
      </c>
      <c r="B38" s="8" t="s">
        <v>1630</v>
      </c>
      <c r="C38" s="1539"/>
    </row>
    <row r="39" spans="1:3">
      <c r="A39" s="8" t="s">
        <v>1630</v>
      </c>
      <c r="B39" s="8" t="s">
        <v>1630</v>
      </c>
      <c r="C39" s="1539"/>
    </row>
    <row r="40" spans="1:3">
      <c r="A40" s="8" t="s">
        <v>1630</v>
      </c>
      <c r="B40" s="8" t="s">
        <v>1630</v>
      </c>
      <c r="C40" s="1539"/>
    </row>
    <row r="41" spans="1:3">
      <c r="A41" s="8" t="s">
        <v>1630</v>
      </c>
      <c r="B41" s="8" t="s">
        <v>1630</v>
      </c>
      <c r="C41" s="1539"/>
    </row>
    <row r="42" spans="1:3">
      <c r="A42" s="8" t="s">
        <v>1630</v>
      </c>
      <c r="B42" s="8" t="s">
        <v>1630</v>
      </c>
      <c r="C42" s="1539"/>
    </row>
    <row r="43" spans="1:3">
      <c r="A43" s="8" t="s">
        <v>1630</v>
      </c>
      <c r="B43" s="8" t="s">
        <v>1630</v>
      </c>
      <c r="C43" s="1539"/>
    </row>
    <row r="44" spans="1:3">
      <c r="A44" s="8" t="s">
        <v>1630</v>
      </c>
      <c r="B44" s="8" t="s">
        <v>1630</v>
      </c>
      <c r="C44" s="1539"/>
    </row>
    <row r="45" spans="1:3">
      <c r="A45" s="8" t="s">
        <v>1630</v>
      </c>
      <c r="B45" s="8" t="s">
        <v>1630</v>
      </c>
      <c r="C45" s="1539"/>
    </row>
    <row r="46" spans="1:3">
      <c r="A46" s="8" t="s">
        <v>1630</v>
      </c>
      <c r="B46" s="8" t="s">
        <v>1630</v>
      </c>
      <c r="C46" s="1539"/>
    </row>
    <row r="47" spans="1:3">
      <c r="A47" s="8" t="s">
        <v>1630</v>
      </c>
      <c r="B47" s="8" t="s">
        <v>1630</v>
      </c>
      <c r="C47" s="1539"/>
    </row>
    <row r="48" spans="1:3">
      <c r="A48" s="8" t="s">
        <v>1630</v>
      </c>
      <c r="B48" s="8" t="s">
        <v>1630</v>
      </c>
      <c r="C48" s="1539"/>
    </row>
    <row r="49" spans="1:5">
      <c r="A49" s="8" t="s">
        <v>1630</v>
      </c>
      <c r="B49" s="8" t="s">
        <v>1630</v>
      </c>
      <c r="C49" s="1539"/>
    </row>
    <row r="50" spans="1:5">
      <c r="A50" s="8" t="s">
        <v>1630</v>
      </c>
      <c r="B50" s="8" t="s">
        <v>1630</v>
      </c>
      <c r="C50" s="1539"/>
    </row>
    <row r="51" spans="1:5">
      <c r="A51" s="1749" t="s">
        <v>1929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1973</v>
      </c>
      <c r="B52" s="1752" t="s">
        <v>1974</v>
      </c>
      <c r="C52" s="1750" t="s">
        <v>1975</v>
      </c>
      <c r="D52" s="1750" t="s">
        <v>1976</v>
      </c>
      <c r="E52" s="1751"/>
    </row>
    <row r="53" spans="1:5">
      <c r="A53" s="3241" t="s">
        <v>1977</v>
      </c>
      <c r="B53" s="1750" t="s">
        <v>1983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16日，在规划利用条件下、设定土地开发程度为红线外“七通”、宗地内场地，设定用途为，剩余土地使用年限为的出让国有建设用地使用权价格。</v>
      </c>
      <c r="D53" s="1751"/>
      <c r="E53" s="1751"/>
    </row>
    <row r="54" spans="1:5">
      <c r="A54" s="3241"/>
      <c r="B54" s="1750" t="s">
        <v>1984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1978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1979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1980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2036</v>
      </c>
      <c r="B58" s="1750" t="s">
        <v>2037</v>
      </c>
      <c r="C58" s="11" t="s">
        <v>2038</v>
      </c>
      <c r="D58" s="1314" t="s">
        <v>2039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Sheet3</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2020-06-17T03:28:44Z</dcterms:modified>
</cp:coreProperties>
</file>