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r:id="rId36"/>
    <sheet name="不动产比较法-仓储" sheetId="36" state="hidden" r:id="rId37"/>
    <sheet name="不动产收益法" sheetId="15"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K20" i="35" l="1"/>
  <c r="K18" i="35"/>
  <c r="K16" i="35"/>
  <c r="K14" i="35"/>
  <c r="C31" i="35"/>
  <c r="E92" i="35"/>
  <c r="F92" i="35" s="1"/>
  <c r="G92" i="35" s="1"/>
  <c r="H92" i="35" s="1"/>
  <c r="I92" i="35" s="1"/>
  <c r="J92" i="35" s="1"/>
  <c r="K92" i="35" s="1"/>
  <c r="L92" i="35" s="1"/>
  <c r="D92" i="35"/>
  <c r="C10" i="12" l="1"/>
  <c r="I48" i="39"/>
  <c r="G48" i="39"/>
  <c r="E48" i="39"/>
  <c r="I40" i="39"/>
  <c r="G40" i="39"/>
  <c r="E40" i="39"/>
  <c r="C40" i="39"/>
  <c r="E13" i="39"/>
  <c r="I13" i="39"/>
  <c r="G13" i="39"/>
  <c r="C13" i="39"/>
  <c r="C12" i="39"/>
  <c r="E120" i="39"/>
  <c r="F120" i="39"/>
  <c r="G120" i="39"/>
  <c r="H120" i="39"/>
  <c r="I120" i="39"/>
  <c r="J120" i="39"/>
  <c r="K120" i="39"/>
  <c r="D120" i="39"/>
  <c r="I9" i="39"/>
  <c r="G9" i="39"/>
  <c r="E9" i="39"/>
  <c r="I7" i="39"/>
  <c r="G7" i="39"/>
  <c r="E7" i="39"/>
  <c r="B7" i="4"/>
  <c r="N14" i="1"/>
  <c r="N8" i="1"/>
  <c r="N7" i="1"/>
  <c r="L8" i="1"/>
  <c r="L14" i="1"/>
  <c r="I8" i="1"/>
  <c r="H8" i="1"/>
  <c r="D3" i="4"/>
  <c r="M35" i="3"/>
  <c r="M5" i="3"/>
  <c r="G21" i="6"/>
  <c r="K5" i="3"/>
  <c r="G20" i="6"/>
  <c r="I5" i="3"/>
  <c r="F19" i="6"/>
  <c r="AN35" i="3"/>
  <c r="AD34" i="3"/>
  <c r="AD32" i="3"/>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G2" i="46"/>
  <c r="C6" i="46"/>
  <c r="G17" i="46"/>
  <c r="H17" i="46"/>
  <c r="I17" i="46"/>
  <c r="J17" i="46"/>
  <c r="C17" i="46"/>
  <c r="C16" i="46"/>
  <c r="C5" i="46"/>
  <c r="F39" i="46"/>
  <c r="C24" i="46"/>
  <c r="C39" i="46"/>
  <c r="G39" i="46"/>
  <c r="F38" i="46"/>
  <c r="C38" i="46"/>
  <c r="G38" i="46"/>
  <c r="F37" i="46"/>
  <c r="C37" i="46"/>
  <c r="G37" i="46"/>
  <c r="D5" i="46"/>
  <c r="F36" i="46"/>
  <c r="C36" i="46"/>
  <c r="G36" i="46"/>
  <c r="F35" i="46"/>
  <c r="C35" i="46"/>
  <c r="G35" i="46"/>
  <c r="F34" i="46"/>
  <c r="C34" i="46"/>
  <c r="G34" i="46"/>
  <c r="A6" i="1"/>
  <c r="A7" i="1"/>
  <c r="A8" i="1"/>
  <c r="A9" i="1"/>
  <c r="G1" i="15"/>
  <c r="F9" i="1"/>
  <c r="J50" i="15"/>
  <c r="J51" i="15"/>
  <c r="M47" i="15"/>
  <c r="G1" i="44"/>
  <c r="M48" i="44"/>
  <c r="J51" i="44"/>
  <c r="J52" i="44"/>
  <c r="C1" i="65"/>
  <c r="H1" i="65"/>
  <c r="AH5" i="3"/>
  <c r="AD5" i="3"/>
  <c r="AL5" i="3"/>
  <c r="AP5" i="3"/>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E17" i="46"/>
  <c r="C10" i="46"/>
  <c r="C11" i="46"/>
  <c r="E8" i="46"/>
  <c r="E9" i="46"/>
  <c r="E10" i="46"/>
  <c r="E11" i="46"/>
  <c r="E15"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O30" i="3"/>
  <c r="BM30" i="3"/>
  <c r="BN30" i="3"/>
  <c r="BP30" i="3"/>
  <c r="BQ30" i="3"/>
  <c r="BR30" i="3"/>
  <c r="BS30" i="3"/>
  <c r="BT30" i="3"/>
  <c r="BL30" i="3"/>
  <c r="BB30" i="3"/>
  <c r="BC30" i="3"/>
  <c r="BD30" i="3"/>
  <c r="BE30" i="3"/>
  <c r="BF30" i="3"/>
  <c r="BG30" i="3"/>
  <c r="BH30" i="3"/>
  <c r="BI30" i="3"/>
  <c r="BJ30" i="3"/>
  <c r="BK30" i="3"/>
  <c r="BA30" i="3"/>
  <c r="AZ30" i="3"/>
  <c r="BM31" i="3"/>
  <c r="BN31" i="3"/>
  <c r="BO31" i="3"/>
  <c r="BP31" i="3"/>
  <c r="BQ31" i="3"/>
  <c r="BR31" i="3"/>
  <c r="BS31" i="3"/>
  <c r="BT31" i="3"/>
  <c r="BL31" i="3"/>
  <c r="BB31" i="3"/>
  <c r="BC31" i="3"/>
  <c r="BD31" i="3"/>
  <c r="BE31" i="3"/>
  <c r="BF31" i="3"/>
  <c r="BG31" i="3"/>
  <c r="BH31" i="3"/>
  <c r="BI31" i="3"/>
  <c r="BJ31" i="3"/>
  <c r="BK31" i="3"/>
  <c r="BA31" i="3"/>
  <c r="AZ31" i="3"/>
  <c r="BM32" i="3"/>
  <c r="BN32" i="3"/>
  <c r="BO32" i="3"/>
  <c r="BP32" i="3"/>
  <c r="BQ32" i="3"/>
  <c r="BR32" i="3"/>
  <c r="BS32" i="3"/>
  <c r="BT32" i="3"/>
  <c r="BL32" i="3"/>
  <c r="BB32" i="3"/>
  <c r="BC32" i="3"/>
  <c r="BD32" i="3"/>
  <c r="BE32" i="3"/>
  <c r="BF32" i="3"/>
  <c r="BG32" i="3"/>
  <c r="BH32" i="3"/>
  <c r="BI32" i="3"/>
  <c r="BJ32" i="3"/>
  <c r="BK32" i="3"/>
  <c r="BA32" i="3"/>
  <c r="AZ32" i="3"/>
  <c r="BO33" i="3"/>
  <c r="BM33" i="3"/>
  <c r="BN33" i="3"/>
  <c r="BP33" i="3"/>
  <c r="BQ33" i="3"/>
  <c r="BR33" i="3"/>
  <c r="BS33" i="3"/>
  <c r="BT33" i="3"/>
  <c r="BL33" i="3"/>
  <c r="BB33" i="3"/>
  <c r="BC33" i="3"/>
  <c r="BD33" i="3"/>
  <c r="BE33" i="3"/>
  <c r="BF33" i="3"/>
  <c r="BG33" i="3"/>
  <c r="BH33" i="3"/>
  <c r="BI33" i="3"/>
  <c r="BJ33" i="3"/>
  <c r="BK33" i="3"/>
  <c r="BA33" i="3"/>
  <c r="AZ33" i="3"/>
  <c r="BM34" i="3"/>
  <c r="BN34" i="3"/>
  <c r="BO34" i="3"/>
  <c r="BP34" i="3"/>
  <c r="BQ34" i="3"/>
  <c r="BR34" i="3"/>
  <c r="BS34" i="3"/>
  <c r="BT34" i="3"/>
  <c r="BL34" i="3"/>
  <c r="BB34" i="3"/>
  <c r="BC34" i="3"/>
  <c r="BD34" i="3"/>
  <c r="BE34" i="3"/>
  <c r="BF34" i="3"/>
  <c r="BG34" i="3"/>
  <c r="BH34" i="3"/>
  <c r="BI34" i="3"/>
  <c r="BJ34" i="3"/>
  <c r="BK34" i="3"/>
  <c r="BA34" i="3"/>
  <c r="AZ34" i="3"/>
  <c r="BD35" i="3"/>
  <c r="BB35" i="3"/>
  <c r="BC35" i="3"/>
  <c r="BE35" i="3"/>
  <c r="BF35" i="3"/>
  <c r="BG35" i="3"/>
  <c r="BH35" i="3"/>
  <c r="BI35" i="3"/>
  <c r="BJ35" i="3"/>
  <c r="BK35" i="3"/>
  <c r="BA35" i="3"/>
  <c r="BR35" i="3"/>
  <c r="BM35" i="3"/>
  <c r="BN35" i="3"/>
  <c r="BO35" i="3"/>
  <c r="BP35" i="3"/>
  <c r="BQ35" i="3"/>
  <c r="BS35" i="3"/>
  <c r="BT35" i="3"/>
  <c r="BL35" i="3"/>
  <c r="AZ35" i="3"/>
  <c r="BQ36" i="3"/>
  <c r="BM36" i="3"/>
  <c r="BN36" i="3"/>
  <c r="BO36" i="3"/>
  <c r="BP36" i="3"/>
  <c r="BR36" i="3"/>
  <c r="BS36" i="3"/>
  <c r="BT36" i="3"/>
  <c r="BL36" i="3"/>
  <c r="BB36" i="3"/>
  <c r="BC36" i="3"/>
  <c r="BD36" i="3"/>
  <c r="BE36" i="3"/>
  <c r="BF36" i="3"/>
  <c r="BG36" i="3"/>
  <c r="BH36" i="3"/>
  <c r="BI36" i="3"/>
  <c r="BJ36" i="3"/>
  <c r="BK36" i="3"/>
  <c r="BA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AC30" i="3"/>
  <c r="H30" i="3"/>
  <c r="G30" i="3"/>
  <c r="AC31" i="3"/>
  <c r="H31" i="3"/>
  <c r="G31" i="3"/>
  <c r="AC32" i="3"/>
  <c r="H32" i="3"/>
  <c r="G32" i="3"/>
  <c r="AC33" i="3"/>
  <c r="H33" i="3"/>
  <c r="G33" i="3"/>
  <c r="AC34" i="3"/>
  <c r="H34" i="3"/>
  <c r="G34" i="3"/>
  <c r="H35" i="3"/>
  <c r="AC35" i="3"/>
  <c r="G35" i="3"/>
  <c r="AC36" i="3"/>
  <c r="H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s="1"/>
  <c r="C18" i="35"/>
  <c r="D68" i="35"/>
  <c r="E68" i="35" s="1"/>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s="1"/>
  <c r="I2" i="46"/>
  <c r="N12" i="46"/>
  <c r="A7" i="46"/>
  <c r="F41" i="4"/>
  <c r="J52" i="40"/>
  <c r="H61" i="49"/>
  <c r="H39" i="46"/>
  <c r="H38" i="46"/>
  <c r="H37" i="46"/>
  <c r="H36" i="46"/>
  <c r="H35" i="46"/>
  <c r="H34" i="46"/>
  <c r="E19" i="6"/>
  <c r="E32" i="6"/>
  <c r="E20" i="6"/>
  <c r="E21" i="6"/>
  <c r="K8" i="1"/>
  <c r="M8" i="1"/>
  <c r="O8" i="1" s="1"/>
  <c r="P8" i="1" s="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s="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c r="J36" i="35"/>
  <c r="AC36" i="35" s="1"/>
  <c r="Q35" i="35"/>
  <c r="Z35" i="35" s="1"/>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s="1"/>
  <c r="Q12" i="35"/>
  <c r="Z12" i="35"/>
  <c r="J12" i="35"/>
  <c r="W12" i="35" s="1"/>
  <c r="F12" i="35"/>
  <c r="AA12" i="35" s="1"/>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c r="J25" i="35"/>
  <c r="AC25" i="35" s="1"/>
  <c r="F25" i="35"/>
  <c r="AA25" i="35"/>
  <c r="H25" i="35"/>
  <c r="AB25" i="35"/>
  <c r="J35" i="35"/>
  <c r="AC35" i="35" s="1"/>
  <c r="F35" i="35"/>
  <c r="S35" i="35"/>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BH5" i="3"/>
  <c r="R16" i="4"/>
  <c r="P16" i="4"/>
  <c r="D3" i="35"/>
  <c r="G4" i="4"/>
  <c r="S37" i="34"/>
  <c r="U42" i="21"/>
  <c r="AC26" i="36"/>
  <c r="W25" i="35"/>
  <c r="H13" i="39"/>
  <c r="AB13" i="39"/>
  <c r="F13" i="39"/>
  <c r="J13" i="39"/>
  <c r="AC13" i="39"/>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s="1"/>
  <c r="H22" i="35"/>
  <c r="AB22" i="35" s="1"/>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AB16" i="39"/>
  <c r="W14"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s="1"/>
  <c r="F97" i="39"/>
  <c r="G97" i="39" s="1"/>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F90" i="34"/>
  <c r="G90" i="34"/>
  <c r="H90" i="34"/>
  <c r="I90" i="34"/>
  <c r="J90" i="34"/>
  <c r="K90" i="34"/>
  <c r="L90" i="34"/>
  <c r="M90" i="34"/>
  <c r="F27" i="34"/>
  <c r="S27" i="34"/>
  <c r="AC43" i="39"/>
  <c r="W43" i="39"/>
  <c r="AA43" i="39"/>
  <c r="S43" i="39"/>
  <c r="AA19" i="39"/>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W23" i="40"/>
  <c r="D73" i="9"/>
  <c r="N73" i="9"/>
  <c r="AP11" i="1"/>
  <c r="B11" i="1"/>
  <c r="E11" i="1"/>
  <c r="K11" i="1"/>
  <c r="M11" i="1"/>
  <c r="B9" i="1"/>
  <c r="E9" i="1"/>
  <c r="K9" i="1"/>
  <c r="M9" i="1"/>
  <c r="B7" i="1"/>
  <c r="E7" i="1"/>
  <c r="K7" i="1"/>
  <c r="M7" i="1"/>
  <c r="O7" i="1" s="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S23"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s="1"/>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E4" i="4" s="1"/>
  <c r="B21" i="55" s="1"/>
  <c r="B72" i="63" s="1"/>
  <c r="B4" i="52"/>
  <c r="B22" i="52"/>
  <c r="B8" i="52"/>
  <c r="B13" i="52"/>
  <c r="E9" i="52"/>
  <c r="B5" i="52"/>
  <c r="E10" i="52"/>
  <c r="E8" i="52"/>
  <c r="B23" i="52"/>
  <c r="B11" i="52"/>
  <c r="B16" i="52"/>
  <c r="E16" i="52"/>
  <c r="B6" i="52"/>
  <c r="E4" i="52"/>
  <c r="E5" i="52"/>
  <c r="D24" i="15"/>
  <c r="G6" i="1"/>
  <c r="E86" i="3"/>
  <c r="AE11" i="46"/>
  <c r="AE13" i="46"/>
  <c r="F29" i="6"/>
  <c r="F28"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A9" i="64"/>
  <c r="A9" i="51"/>
  <c r="B9" i="63" s="1"/>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S7" i="35" s="1"/>
  <c r="J7" i="35"/>
  <c r="AC7" i="35" s="1"/>
  <c r="H7" i="35"/>
  <c r="AB7" i="35" s="1"/>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s="1"/>
  <c r="C18" i="11" s="1"/>
  <c r="AP16" i="1"/>
  <c r="F22" i="11"/>
  <c r="C4" i="4"/>
  <c r="G66" i="36"/>
  <c r="J18" i="36"/>
  <c r="AE8"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AC7" i="36"/>
  <c r="V36" i="36"/>
  <c r="I36" i="36"/>
  <c r="I40" i="36"/>
  <c r="J40" i="36"/>
  <c r="W18" i="36"/>
  <c r="AC18" i="36"/>
  <c r="U7" i="36"/>
  <c r="G41" i="36"/>
  <c r="H41" i="36"/>
  <c r="W7" i="35"/>
  <c r="S7" i="37"/>
  <c r="U7" i="34"/>
  <c r="E48" i="33"/>
  <c r="E52" i="33"/>
  <c r="F52" i="33"/>
  <c r="H12" i="40"/>
  <c r="AB12" i="40"/>
  <c r="AG6" i="1"/>
  <c r="H12" i="39"/>
  <c r="U12" i="39"/>
  <c r="F12" i="39"/>
  <c r="AA12" i="39"/>
  <c r="F31" i="6"/>
  <c r="F12" i="40"/>
  <c r="AA12" i="40"/>
  <c r="J12" i="39"/>
  <c r="AC12" i="39"/>
  <c r="AC6" i="3"/>
  <c r="D21" i="12"/>
  <c r="C21" i="12" s="1"/>
  <c r="D12" i="11"/>
  <c r="C12" i="11"/>
  <c r="E59" i="40"/>
  <c r="E29" i="6"/>
  <c r="L20" i="6"/>
  <c r="E58" i="40"/>
  <c r="E63" i="39"/>
  <c r="E16" i="6"/>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0" i="55"/>
  <c r="B70" i="63"/>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72" i="39"/>
  <c r="F70" i="39"/>
  <c r="I53" i="34"/>
  <c r="J53" i="34"/>
  <c r="AB12" i="39"/>
  <c r="AC12" i="40"/>
  <c r="W12" i="40"/>
  <c r="E46" i="37"/>
  <c r="F46" i="37"/>
  <c r="C48" i="33"/>
  <c r="C49" i="33"/>
  <c r="B3" i="33"/>
  <c r="B2" i="33"/>
  <c r="U7" i="37"/>
  <c r="AB7" i="37"/>
  <c r="T42" i="37"/>
  <c r="G42" i="37"/>
  <c r="S12" i="40"/>
  <c r="S12" i="39"/>
  <c r="E6" i="3"/>
  <c r="J22" i="46"/>
  <c r="W12" i="39"/>
  <c r="U12" i="40"/>
  <c r="E41" i="36"/>
  <c r="F41" i="36"/>
  <c r="I47" i="37"/>
  <c r="J47" i="37"/>
  <c r="G47" i="37"/>
  <c r="H47" i="37"/>
  <c r="E53" i="33"/>
  <c r="F53" i="33"/>
  <c r="I53" i="33"/>
  <c r="J53" i="33"/>
  <c r="L27" i="6"/>
  <c r="I41" i="36"/>
  <c r="J41" i="36"/>
  <c r="R37" i="36"/>
  <c r="M14" i="1"/>
  <c r="M16" i="1" s="1"/>
  <c r="K16" i="1"/>
  <c r="M20" i="6"/>
  <c r="I20" i="6"/>
  <c r="S20" i="6"/>
  <c r="S7" i="1"/>
  <c r="K27" i="6"/>
  <c r="M19" i="6"/>
  <c r="S6" i="1"/>
  <c r="M21" i="6"/>
  <c r="I21" i="6"/>
  <c r="S21" i="6"/>
  <c r="S8" i="1"/>
  <c r="M22" i="6"/>
  <c r="I22" i="6"/>
  <c r="S22" i="6"/>
  <c r="S9" i="1"/>
  <c r="B1" i="66"/>
  <c r="R43" i="37"/>
  <c r="R50" i="34"/>
  <c r="C50" i="34"/>
  <c r="B3" i="34"/>
  <c r="B2" i="34"/>
  <c r="E49" i="34"/>
  <c r="AC7" i="21"/>
  <c r="V48" i="21"/>
  <c r="I48" i="21"/>
  <c r="W7" i="21"/>
  <c r="U7" i="21"/>
  <c r="AB7" i="21"/>
  <c r="T48" i="21"/>
  <c r="G48" i="21"/>
  <c r="S7" i="21"/>
  <c r="AA7" i="21"/>
  <c r="R48" i="21"/>
  <c r="F72" i="39"/>
  <c r="G70" i="39"/>
  <c r="F67" i="40"/>
  <c r="G65" i="40"/>
  <c r="G46" i="37"/>
  <c r="H46" i="37"/>
  <c r="E47" i="37"/>
  <c r="F47" i="37"/>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16" i="12" s="1"/>
  <c r="C21" i="4"/>
  <c r="O5" i="54"/>
  <c r="B45" i="63"/>
  <c r="E6" i="6"/>
  <c r="D10" i="11"/>
  <c r="O14"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9" i="1"/>
  <c r="T11" i="1"/>
  <c r="T12" i="1"/>
  <c r="P14" i="1"/>
  <c r="D22" i="12"/>
  <c r="C22" i="12" s="1"/>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B2" i="21"/>
  <c r="I53" i="21"/>
  <c r="J53" i="21"/>
  <c r="I70" i="39"/>
  <c r="H72" i="39"/>
  <c r="I65" i="40"/>
  <c r="H67" i="40"/>
  <c r="H27" i="6"/>
  <c r="R20" i="6"/>
  <c r="R7" i="1"/>
  <c r="R24" i="6"/>
  <c r="D16" i="6"/>
  <c r="D30" i="6"/>
  <c r="R23" i="6"/>
  <c r="R25" i="6"/>
  <c r="R21" i="6"/>
  <c r="R8" i="1"/>
  <c r="R19" i="6"/>
  <c r="R6" i="1"/>
  <c r="D27" i="6"/>
  <c r="A6" i="51"/>
  <c r="B7" i="63" s="1"/>
  <c r="A20" i="64"/>
  <c r="A6" i="64"/>
  <c r="A20" i="51"/>
  <c r="B15" i="63"/>
  <c r="N5" i="54"/>
  <c r="B43" i="63"/>
  <c r="R26" i="6"/>
  <c r="J65" i="40"/>
  <c r="I67" i="40"/>
  <c r="J70" i="39"/>
  <c r="I72" i="39"/>
  <c r="R16" i="1"/>
  <c r="D31" i="6"/>
  <c r="I6" i="6"/>
  <c r="R27" i="6"/>
  <c r="K70" i="39"/>
  <c r="J72" i="39"/>
  <c r="K65" i="40"/>
  <c r="J67" i="40"/>
  <c r="I5" i="6"/>
  <c r="K67" i="40"/>
  <c r="L65" i="40"/>
  <c r="K72" i="39"/>
  <c r="L70" i="39"/>
  <c r="L46" i="15"/>
  <c r="L72" i="39"/>
  <c r="M70" i="39"/>
  <c r="M65" i="40"/>
  <c r="L67" i="40"/>
  <c r="N70" i="39"/>
  <c r="N72" i="39"/>
  <c r="M72" i="39"/>
  <c r="N65" i="40"/>
  <c r="N67" i="40"/>
  <c r="M67" i="40"/>
  <c r="J9" i="40"/>
  <c r="F9" i="40"/>
  <c r="H9" i="40"/>
  <c r="AA9" i="40"/>
  <c r="R44" i="40"/>
  <c r="S9" i="40"/>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 i="15"/>
  <c r="F7" i="15"/>
  <c r="C14" i="15"/>
  <c r="F16" i="15"/>
  <c r="F43" i="15"/>
  <c r="F26" i="15"/>
  <c r="F40" i="15"/>
  <c r="M8" i="15"/>
  <c r="M9" i="15"/>
  <c r="L49" i="44"/>
  <c r="F8" i="67"/>
  <c r="F10" i="67"/>
  <c r="F12" i="67"/>
  <c r="F14" i="67"/>
  <c r="E8" i="67"/>
  <c r="E10" i="67"/>
  <c r="E12" i="67"/>
  <c r="E14" i="67"/>
  <c r="B7" i="67"/>
  <c r="B9" i="67"/>
  <c r="B13" i="67"/>
  <c r="B11" i="67"/>
  <c r="N7" i="65"/>
  <c r="J7" i="65"/>
  <c r="N5" i="65"/>
  <c r="N3" i="65"/>
  <c r="N6" i="65"/>
  <c r="J3" i="65"/>
  <c r="M27" i="15"/>
  <c r="F18" i="44"/>
  <c r="M24" i="15"/>
  <c r="M25" i="44"/>
  <c r="F15" i="44"/>
  <c r="L48" i="44"/>
  <c r="J36" i="15"/>
  <c r="M8" i="44"/>
  <c r="M26" i="44"/>
  <c r="M28" i="44"/>
  <c r="F40" i="44"/>
  <c r="L47" i="15"/>
  <c r="M31" i="44"/>
  <c r="F45" i="44"/>
  <c r="M29" i="15"/>
  <c r="M24" i="44"/>
  <c r="J15" i="15"/>
  <c r="F8" i="15"/>
  <c r="F9" i="15"/>
  <c r="N4" i="65"/>
  <c r="F35" i="15"/>
  <c r="I5" i="65"/>
  <c r="E2" i="65" s="1"/>
  <c r="F36" i="15"/>
  <c r="F13" i="15"/>
  <c r="F37" i="15"/>
  <c r="F38" i="15"/>
  <c r="F42" i="15"/>
  <c r="L48" i="15"/>
  <c r="M6" i="15"/>
  <c r="I4" i="65"/>
  <c r="F9" i="67"/>
  <c r="F11" i="67"/>
  <c r="F13" i="67"/>
  <c r="E7" i="67"/>
  <c r="E9" i="67"/>
  <c r="E11" i="67"/>
  <c r="E13" i="67"/>
  <c r="B14" i="67"/>
  <c r="B8" i="67"/>
  <c r="B12" i="67"/>
  <c r="B10" i="67"/>
  <c r="I3" i="65"/>
  <c r="I7" i="65"/>
  <c r="J6" i="65"/>
  <c r="J5" i="65"/>
  <c r="J4" i="65"/>
  <c r="I6" i="65"/>
  <c r="F11" i="44"/>
  <c r="M11" i="44"/>
  <c r="M28" i="15"/>
  <c r="J17" i="44"/>
  <c r="F39" i="44"/>
  <c r="M26" i="15"/>
  <c r="M10" i="44"/>
  <c r="M29" i="44"/>
  <c r="F10" i="44"/>
  <c r="F28" i="44"/>
  <c r="M22" i="15"/>
  <c r="F8" i="44"/>
  <c r="M23" i="15"/>
  <c r="F9" i="44"/>
  <c r="M30" i="44"/>
  <c r="F43" i="44"/>
  <c r="F38" i="44"/>
  <c r="C16" i="44"/>
  <c r="F37" i="44"/>
  <c r="F46" i="44"/>
  <c r="C19" i="44"/>
  <c r="M21" i="15"/>
  <c r="M23" i="44"/>
  <c r="P7" i="1" l="1"/>
  <c r="P16" i="1" s="1"/>
  <c r="C13" i="12" s="1"/>
  <c r="C14" i="12" s="1"/>
  <c r="O16" i="1"/>
  <c r="L16" i="1"/>
  <c r="C13" i="43"/>
  <c r="C14" i="43" s="1"/>
  <c r="D19" i="12"/>
  <c r="C19" i="12" s="1"/>
  <c r="N16" i="1"/>
  <c r="C29" i="43" s="1"/>
  <c r="T8" i="1"/>
  <c r="T6" i="1"/>
  <c r="T10" i="1"/>
  <c r="S23" i="39"/>
  <c r="F9" i="39"/>
  <c r="F24" i="43"/>
  <c r="C26" i="43" s="1"/>
  <c r="D24" i="43" s="1"/>
  <c r="F33" i="12"/>
  <c r="C34" i="12" s="1"/>
  <c r="D33" i="12" s="1"/>
  <c r="H29" i="35"/>
  <c r="J29" i="35"/>
  <c r="AC29" i="35" s="1"/>
  <c r="H87" i="35"/>
  <c r="I87" i="35" s="1"/>
  <c r="J87" i="35" s="1"/>
  <c r="K87" i="35" s="1"/>
  <c r="L87" i="35" s="1"/>
  <c r="M87" i="35" s="1"/>
  <c r="F29" i="35"/>
  <c r="S29" i="35" s="1"/>
  <c r="F70" i="35"/>
  <c r="G70" i="35" s="1"/>
  <c r="F20" i="35"/>
  <c r="S20" i="35" s="1"/>
  <c r="J20" i="35"/>
  <c r="AC20" i="35" s="1"/>
  <c r="H20" i="35"/>
  <c r="AB20" i="35" s="1"/>
  <c r="H16" i="35"/>
  <c r="U16" i="35" s="1"/>
  <c r="J16" i="35"/>
  <c r="W16" i="35" s="1"/>
  <c r="F16" i="35"/>
  <c r="AA16" i="35" s="1"/>
  <c r="F66" i="35"/>
  <c r="G66" i="35" s="1"/>
  <c r="J14" i="35"/>
  <c r="AC14" i="35" s="1"/>
  <c r="H14" i="35"/>
  <c r="F64" i="35"/>
  <c r="G64" i="35" s="1"/>
  <c r="F14" i="35"/>
  <c r="S14" i="35" s="1"/>
  <c r="AC10" i="35"/>
  <c r="S10" i="35"/>
  <c r="AB27" i="35"/>
  <c r="U22" i="35"/>
  <c r="U20" i="35"/>
  <c r="AA14" i="35"/>
  <c r="AA7" i="35"/>
  <c r="AA36" i="35"/>
  <c r="AC16" i="35"/>
  <c r="AB30" i="35"/>
  <c r="S30" i="35"/>
  <c r="J26" i="35"/>
  <c r="H26" i="35"/>
  <c r="F26" i="35"/>
  <c r="W29" i="35"/>
  <c r="W35" i="35"/>
  <c r="U7" i="35"/>
  <c r="C20" i="12"/>
  <c r="U33" i="35"/>
  <c r="S18" i="35"/>
  <c r="AA20" i="35"/>
  <c r="AA29" i="35"/>
  <c r="S22" i="35"/>
  <c r="C17" i="43"/>
  <c r="C18" i="43" s="1"/>
  <c r="J22" i="44"/>
  <c r="J20" i="15"/>
  <c r="C36" i="44"/>
  <c r="C17" i="44"/>
  <c r="C20" i="44"/>
  <c r="Q73" i="44"/>
  <c r="M9" i="44"/>
  <c r="J8" i="44" s="1"/>
  <c r="C8" i="44"/>
  <c r="C29" i="44"/>
  <c r="E3" i="67"/>
  <c r="E20" i="46"/>
  <c r="J53" i="15"/>
  <c r="I54" i="15"/>
  <c r="J57" i="15"/>
  <c r="J55" i="15" s="1"/>
  <c r="J58" i="15" s="1"/>
  <c r="Q51" i="15" s="1"/>
  <c r="L56" i="15"/>
  <c r="L57" i="15"/>
  <c r="L60" i="15"/>
  <c r="F65" i="15"/>
  <c r="F64" i="15"/>
  <c r="F63" i="15"/>
  <c r="B40" i="1"/>
  <c r="C34" i="15"/>
  <c r="F62" i="15"/>
  <c r="C61" i="15" s="1"/>
  <c r="C4" i="65"/>
  <c r="B39" i="1" s="1"/>
  <c r="F50" i="15"/>
  <c r="L58" i="15"/>
  <c r="L59" i="15"/>
  <c r="Q72" i="15"/>
  <c r="L60" i="44"/>
  <c r="L59" i="44"/>
  <c r="J1" i="65"/>
  <c r="B2" i="67"/>
  <c r="J54" i="44"/>
  <c r="J58" i="44"/>
  <c r="J56" i="44" s="1"/>
  <c r="J59" i="44" s="1"/>
  <c r="Q52" i="44" s="1"/>
  <c r="J61" i="44"/>
  <c r="Q50" i="44" s="1"/>
  <c r="I55" i="44"/>
  <c r="J60" i="44"/>
  <c r="L57" i="44"/>
  <c r="L47" i="44"/>
  <c r="F67" i="15"/>
  <c r="C27" i="15"/>
  <c r="F70" i="15"/>
  <c r="C18" i="15"/>
  <c r="C15" i="15"/>
  <c r="M7" i="15"/>
  <c r="J6" i="15" s="1"/>
  <c r="F49" i="15"/>
  <c r="C6" i="15"/>
  <c r="F7" i="67"/>
  <c r="C18" i="44"/>
  <c r="E3" i="65"/>
  <c r="C17" i="15"/>
  <c r="C16" i="15"/>
  <c r="C17" i="12" l="1"/>
  <c r="C18" i="12" s="1"/>
  <c r="C23" i="12" s="1"/>
  <c r="T16" i="1"/>
  <c r="AA9" i="39"/>
  <c r="R49" i="39" s="1"/>
  <c r="S9" i="39"/>
  <c r="H9" i="39"/>
  <c r="U29" i="35"/>
  <c r="AB29" i="35"/>
  <c r="W20" i="35"/>
  <c r="S16" i="35"/>
  <c r="AB16" i="35"/>
  <c r="W14" i="35"/>
  <c r="U14" i="35"/>
  <c r="AB14" i="35"/>
  <c r="U26" i="35"/>
  <c r="AB26" i="35"/>
  <c r="S26" i="35"/>
  <c r="AA26" i="35"/>
  <c r="R38" i="35" s="1"/>
  <c r="AC26" i="35"/>
  <c r="V38" i="35" s="1"/>
  <c r="I38" i="35" s="1"/>
  <c r="I42" i="35" s="1"/>
  <c r="J42" i="35" s="1"/>
  <c r="W26" i="35"/>
  <c r="C19" i="15"/>
  <c r="F17" i="11"/>
  <c r="C17" i="11" s="1"/>
  <c r="C19" i="11" s="1"/>
  <c r="E4" i="67"/>
  <c r="B4" i="67" s="1"/>
  <c r="C21" i="44"/>
  <c r="C19" i="43"/>
  <c r="Q54" i="44"/>
  <c r="F1" i="44"/>
  <c r="Q75" i="44"/>
  <c r="Q62" i="44"/>
  <c r="Q75" i="15"/>
  <c r="Q62" i="15"/>
  <c r="F11" i="15"/>
  <c r="C52" i="15" s="1"/>
  <c r="M11" i="15"/>
  <c r="J10" i="15" s="1"/>
  <c r="J5" i="15" s="1"/>
  <c r="F13" i="44"/>
  <c r="C12" i="44" s="1"/>
  <c r="C7" i="44" s="1"/>
  <c r="M13" i="44"/>
  <c r="J12" i="44" s="1"/>
  <c r="J7" i="44" s="1"/>
  <c r="B3" i="67"/>
  <c r="Q63" i="44"/>
  <c r="Q76" i="44"/>
  <c r="Q74" i="15"/>
  <c r="Q61" i="15"/>
  <c r="C48" i="15"/>
  <c r="F24" i="15"/>
  <c r="C24" i="15" s="1"/>
  <c r="F21" i="43"/>
  <c r="C23" i="43" s="1"/>
  <c r="D21" i="43" s="1"/>
  <c r="F26" i="12"/>
  <c r="C27" i="12" s="1"/>
  <c r="D26" i="12" s="1"/>
  <c r="C32" i="12" s="1"/>
  <c r="D30" i="12" s="1"/>
  <c r="F26" i="44"/>
  <c r="C26" i="44" s="1"/>
  <c r="Q67" i="15"/>
  <c r="Q58" i="15"/>
  <c r="F1" i="15"/>
  <c r="Q53" i="15"/>
  <c r="O17" i="46"/>
  <c r="M17" i="46"/>
  <c r="P17" i="46"/>
  <c r="N17" i="46"/>
  <c r="AE7" i="1"/>
  <c r="F41" i="15" s="1"/>
  <c r="AB9" i="39" l="1"/>
  <c r="T49" i="39" s="1"/>
  <c r="G49" i="39" s="1"/>
  <c r="U9" i="39"/>
  <c r="J9" i="39"/>
  <c r="E49" i="39"/>
  <c r="T38" i="35"/>
  <c r="G38" i="35" s="1"/>
  <c r="G42" i="35" s="1"/>
  <c r="H42" i="35" s="1"/>
  <c r="E38" i="35"/>
  <c r="C47" i="15"/>
  <c r="C60" i="15" s="1"/>
  <c r="C22" i="43"/>
  <c r="C21" i="43" s="1"/>
  <c r="C10" i="15"/>
  <c r="C5" i="15" s="1"/>
  <c r="C33" i="15" s="1"/>
  <c r="F68" i="15"/>
  <c r="J26" i="15"/>
  <c r="J29" i="15" s="1"/>
  <c r="J18" i="15"/>
  <c r="J24" i="15"/>
  <c r="J20" i="44"/>
  <c r="J26" i="44"/>
  <c r="J28" i="44"/>
  <c r="J31" i="44" s="1"/>
  <c r="C25" i="43"/>
  <c r="C24" i="43" s="1"/>
  <c r="C22" i="44"/>
  <c r="C25" i="44" s="1"/>
  <c r="C20" i="15"/>
  <c r="C23" i="15" s="1"/>
  <c r="C40" i="44"/>
  <c r="C34" i="44"/>
  <c r="C20" i="11"/>
  <c r="C21" i="11" s="1"/>
  <c r="C22" i="11" s="1"/>
  <c r="C23" i="11" s="1"/>
  <c r="B2" i="11" s="1"/>
  <c r="L52" i="44"/>
  <c r="W9" i="39" l="1"/>
  <c r="AC9" i="39"/>
  <c r="V49" i="39" s="1"/>
  <c r="E54" i="39"/>
  <c r="F54" i="39" s="1"/>
  <c r="E53" i="39"/>
  <c r="F53" i="39" s="1"/>
  <c r="G53" i="39"/>
  <c r="H53" i="39" s="1"/>
  <c r="R39" i="35"/>
  <c r="C39" i="35" s="1"/>
  <c r="B3" i="35" s="1"/>
  <c r="G43" i="35"/>
  <c r="H43" i="35" s="1"/>
  <c r="I43" i="35"/>
  <c r="J43" i="35" s="1"/>
  <c r="E42" i="35"/>
  <c r="F42" i="35" s="1"/>
  <c r="E43" i="35"/>
  <c r="F43" i="35" s="1"/>
  <c r="C65" i="15"/>
  <c r="C59" i="15"/>
  <c r="C38" i="15"/>
  <c r="C32" i="15"/>
  <c r="C31" i="15" s="1"/>
  <c r="C28" i="43"/>
  <c r="C30" i="43" s="1"/>
  <c r="C32" i="43" s="1"/>
  <c r="B2" i="43" s="1"/>
  <c r="B3" i="43" s="1"/>
  <c r="C58" i="15"/>
  <c r="Q69" i="44"/>
  <c r="L58" i="44"/>
  <c r="L61" i="44" s="1"/>
  <c r="B3" i="11"/>
  <c r="B4" i="11"/>
  <c r="B5" i="11"/>
  <c r="C26" i="15"/>
  <c r="C29" i="15" s="1"/>
  <c r="C28" i="44"/>
  <c r="C31" i="44" s="1"/>
  <c r="Q49" i="44"/>
  <c r="Q55" i="44" s="1"/>
  <c r="Q58" i="44"/>
  <c r="Q67" i="44"/>
  <c r="B2" i="35" l="1"/>
  <c r="E10" i="12" s="1"/>
  <c r="E8" i="12"/>
  <c r="I49" i="39"/>
  <c r="R50" i="39"/>
  <c r="C38" i="35"/>
  <c r="B4" i="43"/>
  <c r="B5" i="43"/>
  <c r="C35" i="44"/>
  <c r="C33" i="44" s="1"/>
  <c r="J21" i="44"/>
  <c r="J19" i="44" s="1"/>
  <c r="Q51" i="44"/>
  <c r="C38" i="44"/>
  <c r="C15" i="44"/>
  <c r="J16" i="44"/>
  <c r="C36" i="15"/>
  <c r="C13" i="15"/>
  <c r="J19" i="15"/>
  <c r="J17" i="15" s="1"/>
  <c r="J14" i="15"/>
  <c r="C56" i="15"/>
  <c r="C63" i="15" s="1"/>
  <c r="Q50" i="15"/>
  <c r="J59" i="15"/>
  <c r="J60" i="15" s="1"/>
  <c r="Q49" i="15" s="1"/>
  <c r="Q68" i="44"/>
  <c r="Q77" i="44" s="1"/>
  <c r="Q59" i="44"/>
  <c r="Q64" i="44" s="1"/>
  <c r="I53" i="39" l="1"/>
  <c r="J53" i="39" s="1"/>
  <c r="I54" i="39"/>
  <c r="J54" i="39" s="1"/>
  <c r="G54" i="39"/>
  <c r="H54" i="39" s="1"/>
  <c r="C49" i="39"/>
  <c r="C50" i="39"/>
  <c r="J22" i="15"/>
  <c r="J13" i="15"/>
  <c r="J23" i="15" s="1"/>
  <c r="C37" i="15"/>
  <c r="C30" i="15" s="1"/>
  <c r="C39" i="15" s="1"/>
  <c r="J35" i="15"/>
  <c r="C55" i="15"/>
  <c r="C64" i="15" s="1"/>
  <c r="C57" i="15" s="1"/>
  <c r="C66" i="15" s="1"/>
  <c r="C67" i="15" s="1"/>
  <c r="Q71" i="15"/>
  <c r="J15" i="44"/>
  <c r="J25" i="44" s="1"/>
  <c r="J24" i="44"/>
  <c r="Q72" i="44"/>
  <c r="C43" i="44"/>
  <c r="C39" i="44"/>
  <c r="C32" i="44" s="1"/>
  <c r="C42" i="44" s="1"/>
  <c r="B66" i="39" l="1"/>
  <c r="F66" i="39" s="1"/>
  <c r="B64" i="39"/>
  <c r="F64" i="39" s="1"/>
  <c r="B61" i="39"/>
  <c r="F61" i="39" s="1"/>
  <c r="B65" i="39"/>
  <c r="F65" i="39" s="1"/>
  <c r="B59" i="39"/>
  <c r="F59" i="39" s="1"/>
  <c r="B58" i="39"/>
  <c r="F58" i="39" s="1"/>
  <c r="B63" i="39"/>
  <c r="F63" i="39" s="1"/>
  <c r="B62" i="39"/>
  <c r="F62" i="39" s="1"/>
  <c r="B60" i="39"/>
  <c r="F60" i="39" s="1"/>
  <c r="B67" i="39"/>
  <c r="F67" i="39" s="1"/>
  <c r="J18" i="44"/>
  <c r="J27" i="44" s="1"/>
  <c r="J16" i="15"/>
  <c r="J25" i="15" s="1"/>
  <c r="Q71" i="44"/>
  <c r="Q70" i="44" s="1"/>
  <c r="C44" i="44"/>
  <c r="C45" i="44" s="1"/>
  <c r="B2" i="44" s="1"/>
  <c r="C70" i="15"/>
  <c r="C40" i="15"/>
  <c r="C46" i="15" s="1"/>
  <c r="Q70" i="15"/>
  <c r="Q69" i="15" s="1"/>
  <c r="J39" i="15"/>
  <c r="J40" i="15" s="1"/>
  <c r="L51" i="15"/>
  <c r="F68" i="39" l="1"/>
  <c r="B2" i="39" s="1"/>
  <c r="Q68" i="15"/>
  <c r="B3" i="44"/>
  <c r="B4" i="44"/>
  <c r="B5" i="44"/>
  <c r="B2" i="15"/>
  <c r="Q48" i="15"/>
  <c r="Q54" i="15" s="1"/>
  <c r="Q57" i="15"/>
  <c r="Q63" i="15" s="1"/>
  <c r="Q66" i="15"/>
  <c r="Q76" i="15" s="1"/>
  <c r="C43" i="15"/>
  <c r="J42" i="15"/>
  <c r="J43" i="15" s="1"/>
  <c r="C19" i="9"/>
  <c r="L43" i="9" l="1"/>
  <c r="B3" i="39"/>
  <c r="B5" i="39"/>
  <c r="B4" i="39"/>
  <c r="D10" i="12"/>
  <c r="C6" i="12" s="1"/>
  <c r="B3" i="15"/>
  <c r="D8" i="12" s="1"/>
  <c r="C20" i="9"/>
  <c r="C21" i="9"/>
  <c r="C24" i="12" l="1"/>
  <c r="C29" i="12"/>
  <c r="C28" i="12" l="1"/>
  <c r="C26" i="12" s="1"/>
  <c r="C31" i="12" s="1"/>
  <c r="C30" i="12" s="1"/>
  <c r="C35" i="12"/>
  <c r="C33" i="12" s="1"/>
  <c r="C36" i="12" l="1"/>
  <c r="B2" i="12" s="1"/>
  <c r="B3" i="12" s="1"/>
  <c r="D19" i="9"/>
  <c r="D20" i="9"/>
  <c r="B5" i="12" l="1"/>
  <c r="L44" i="9"/>
  <c r="G19" i="9"/>
  <c r="C32" i="9" s="1"/>
  <c r="D22" i="9"/>
  <c r="B4" i="12"/>
  <c r="G20" i="9"/>
  <c r="N43" i="9"/>
  <c r="D21" i="9"/>
  <c r="G22" i="9" l="1"/>
  <c r="G21" i="9"/>
  <c r="O38" i="9"/>
  <c r="C34" i="9"/>
  <c r="O43" i="9"/>
  <c r="C42" i="9"/>
  <c r="C33" i="9"/>
  <c r="C35" i="9"/>
  <c r="F42" i="9" s="1"/>
  <c r="N38" i="9" l="1"/>
  <c r="K28" i="9" s="1"/>
  <c r="D42" i="9"/>
  <c r="Q5" i="54" s="1"/>
  <c r="B47" i="63" s="1"/>
  <c r="D14" i="66"/>
  <c r="R5" i="54"/>
  <c r="B48" i="63" s="1"/>
  <c r="D63" i="9"/>
  <c r="C44" i="9"/>
  <c r="N68" i="9"/>
  <c r="M38" i="9"/>
  <c r="K27" i="9" s="1"/>
  <c r="E42" i="9"/>
  <c r="P5" i="54" s="1"/>
  <c r="B46" i="63" s="1"/>
  <c r="K26" i="9"/>
  <c r="K25" i="9"/>
  <c r="G14" i="66" l="1"/>
  <c r="B6" i="66" s="1"/>
  <c r="O39" i="9"/>
  <c r="D44" i="9"/>
  <c r="F44" i="9"/>
  <c r="N69" i="9"/>
  <c r="E44" i="9"/>
  <c r="C96" i="9"/>
  <c r="C91" i="9" s="1"/>
  <c r="C103" i="9"/>
  <c r="C90" i="9"/>
  <c r="C111" i="9"/>
  <c r="C104" i="9" s="1"/>
  <c r="D71" i="9"/>
  <c r="D66" i="9" s="1"/>
  <c r="N72" i="9" s="1"/>
  <c r="D77" i="9"/>
  <c r="N75" i="9" s="1"/>
  <c r="D70" i="9"/>
  <c r="C82" i="9"/>
  <c r="C81" i="9" s="1"/>
  <c r="C85" i="9" s="1"/>
  <c r="C86" i="9" s="1"/>
  <c r="D72" i="9" s="1"/>
  <c r="E14" i="66"/>
  <c r="F14" i="66"/>
  <c r="B5" i="66"/>
  <c r="C97" i="9" l="1"/>
  <c r="C113" i="9"/>
  <c r="K29" i="9"/>
  <c r="K30" i="9" s="1"/>
  <c r="R6" i="54"/>
  <c r="B50" i="63" s="1"/>
  <c r="C5" i="66"/>
  <c r="D5" i="66"/>
  <c r="C98" i="9"/>
  <c r="E98" i="9" s="1"/>
  <c r="E99" i="9" s="1"/>
  <c r="M86" i="9"/>
  <c r="N86" i="9" s="1"/>
  <c r="M88" i="9"/>
  <c r="N88" i="9" s="1"/>
  <c r="M84" i="9"/>
  <c r="N84" i="9" s="1"/>
  <c r="M87" i="9"/>
  <c r="N87" i="9" s="1"/>
  <c r="M83" i="9"/>
  <c r="N83" i="9" s="1"/>
  <c r="M85" i="9"/>
  <c r="N85" i="9" s="1"/>
  <c r="C6" i="66"/>
  <c r="D6" i="66"/>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<sst xmlns="http://schemas.openxmlformats.org/spreadsheetml/2006/main" count="7523" uniqueCount="3219">
  <si>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</si>
  <si>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</si>
  <si>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</si>
  <si>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</si>
  <si>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</si>
  <si>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</si>
  <si>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</si>
  <si>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</si>
  <si>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</si>
  <si>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</si>
  <si>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</si>
  <si>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</si>
  <si>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</si>
  <si>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</si>
  <si>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</si>
  <si>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</si>
  <si>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</si>
  <si>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</si>
  <si>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</si>
  <si>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</si>
  <si>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</si>
  <si>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</si>
  <si>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</si>
  <si>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</si>
  <si>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</si>
  <si>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</si>
  <si>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</si>
  <si>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</si>
  <si>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</si>
  <si>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</si>
  <si>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</si>
  <si>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</si>
  <si>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</si>
  <si>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</si>
  <si>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</si>
  <si>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</si>
  <si>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</si>
  <si>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</si>
  <si>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</si>
  <si>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</si>
  <si>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</si>
  <si>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</si>
  <si>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</si>
  <si>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</si>
  <si>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</si>
  <si>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</si>
  <si>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</si>
  <si>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</si>
  <si>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</si>
  <si>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</si>
  <si>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</si>
  <si>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</si>
  <si>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</si>
  <si>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</si>
  <si>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</si>
  <si>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</si>
  <si>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</si>
  <si>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</si>
  <si>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</si>
  <si>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</si>
  <si>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</si>
  <si>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</si>
  <si>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</si>
  <si>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</si>
  <si>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</si>
  <si>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</si>
  <si>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</si>
  <si>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</si>
  <si>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</si>
  <si>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</si>
  <si>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</si>
  <si>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</si>
  <si>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</si>
  <si>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</si>
  <si>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</si>
  <si>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</si>
  <si>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</si>
  <si>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</si>
  <si>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</si>
  <si>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</si>
  <si>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</si>
  <si>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</si>
  <si>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</si>
  <si>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</si>
  <si>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</si>
  <si>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</si>
  <si>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</si>
  <si>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</si>
  <si>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</si>
  <si>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</si>
  <si>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</si>
  <si>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</si>
  <si>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</si>
  <si>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</si>
  <si>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</si>
  <si>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</si>
  <si>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</si>
  <si>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</si>
  <si>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</si>
  <si>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</si>
  <si>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</si>
  <si>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</si>
  <si>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</si>
  <si>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</si>
  <si>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</si>
  <si>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</si>
  <si>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</si>
  <si>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</si>
  <si>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</si>
  <si>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</si>
  <si>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</si>
  <si>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</si>
  <si>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</si>
  <si>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</si>
  <si>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</si>
  <si>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</si>
  <si>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</si>
  <si>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</si>
  <si>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</si>
  <si>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</si>
  <si>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</si>
  <si>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</si>
  <si>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</si>
  <si>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</si>
  <si>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</si>
  <si>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</si>
  <si>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</si>
  <si>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</si>
  <si>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</si>
  <si>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</si>
  <si>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</si>
  <si>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</si>
  <si>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</si>
  <si>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</si>
  <si>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</si>
  <si>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</si>
  <si>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</si>
  <si>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</si>
  <si>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</si>
  <si>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</si>
  <si>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</si>
  <si>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</si>
  <si>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</si>
  <si>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</si>
  <si>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</si>
  <si>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</si>
  <si>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</si>
  <si>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</si>
  <si>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</si>
  <si>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</si>
  <si>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</si>
  <si>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</si>
  <si>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</si>
  <si>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</si>
  <si>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</si>
  <si>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</si>
  <si>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</si>
  <si>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</si>
  <si>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</si>
  <si>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</si>
  <si>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</si>
  <si>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</si>
  <si>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</si>
  <si>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</si>
  <si>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</si>
  <si>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</si>
  <si>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</si>
  <si>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</si>
  <si>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</si>
  <si>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</si>
  <si>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</si>
  <si>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</si>
  <si>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</si>
  <si>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</si>
  <si>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</si>
  <si>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</si>
  <si>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</si>
  <si>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</si>
  <si>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</si>
  <si>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</si>
  <si>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</si>
  <si>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</si>
  <si>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</si>
  <si>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</si>
  <si>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</si>
  <si>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</si>
  <si>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</si>
  <si>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</si>
  <si>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</si>
  <si>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</si>
  <si>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</si>
  <si>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</si>
  <si>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</si>
  <si>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</si>
  <si>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</si>
  <si>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</si>
  <si>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</si>
  <si>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</si>
  <si>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</si>
  <si>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</si>
  <si>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</si>
  <si>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</si>
  <si>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</si>
  <si>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</si>
  <si>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</si>
  <si>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</si>
  <si>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</si>
  <si>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</si>
  <si>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</si>
  <si>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</si>
  <si>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</si>
  <si>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</si>
  <si>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</si>
  <si>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</si>
  <si>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</si>
  <si>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</si>
  <si>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</si>
  <si>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</si>
  <si>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</si>
  <si>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</si>
  <si>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</si>
  <si>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</si>
  <si>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</si>
  <si>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</si>
  <si>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</si>
  <si>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</si>
  <si>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</si>
  <si>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</si>
  <si>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</si>
  <si>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</si>
  <si>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</si>
  <si>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</si>
  <si>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</si>
  <si>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</si>
  <si>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</si>
  <si>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</si>
  <si>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</si>
  <si>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</si>
  <si>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</si>
  <si>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</si>
  <si>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</si>
  <si>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</si>
  <si>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</si>
  <si>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</si>
  <si>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</si>
  <si>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</si>
  <si>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</si>
  <si>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</si>
  <si>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</si>
  <si>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</si>
  <si>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</si>
  <si>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</si>
  <si>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</si>
  <si>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</si>
  <si>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</si>
  <si>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</si>
  <si>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</si>
  <si>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</si>
  <si>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</si>
  <si>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</si>
  <si>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</si>
  <si>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</si>
  <si>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</si>
  <si>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</si>
  <si>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</si>
  <si>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</si>
  <si>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</si>
  <si>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</si>
  <si>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</si>
  <si>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</si>
  <si>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</si>
  <si>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</si>
  <si>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</si>
  <si>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</si>
  <si>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</si>
  <si>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</si>
  <si>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</si>
  <si>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</si>
  <si>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</si>
  <si>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</si>
  <si>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</si>
  <si>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</si>
  <si>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</si>
  <si>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</si>
  <si>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</si>
  <si>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</si>
  <si>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</si>
  <si>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</si>
  <si>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</si>
  <si>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</si>
  <si>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</si>
  <si>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</si>
  <si>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</si>
  <si>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</si>
  <si>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</si>
  <si>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</si>
  <si>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</si>
  <si>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</si>
  <si>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</si>
  <si>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</si>
  <si>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</si>
  <si>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</si>
  <si>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</si>
  <si>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</si>
  <si>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</si>
  <si>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</si>
  <si>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</si>
  <si>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</si>
  <si>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</si>
  <si>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</si>
  <si>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</si>
  <si>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</si>
  <si>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</si>
  <si>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</si>
  <si>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</si>
  <si>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</si>
  <si>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</si>
  <si>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</si>
  <si>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</si>
  <si>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</si>
  <si>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</si>
  <si>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</si>
  <si>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</si>
  <si>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</si>
  <si>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</si>
  <si>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</si>
  <si>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</si>
  <si>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</si>
  <si>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</si>
  <si>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</si>
  <si>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</si>
  <si>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</si>
  <si>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</si>
  <si>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</si>
  <si>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</si>
  <si>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</si>
  <si>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</si>
  <si>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</si>
  <si>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</si>
  <si>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</si>
  <si>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</si>
  <si>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</si>
  <si>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</si>
  <si>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</si>
  <si>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</si>
  <si>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</si>
  <si>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</si>
  <si>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</si>
  <si>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</si>
  <si>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</si>
  <si>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</si>
  <si>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</si>
  <si>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</si>
  <si>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</si>
  <si>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</si>
  <si>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</si>
  <si>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</si>
  <si>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</si>
  <si>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</si>
  <si>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</si>
  <si>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</si>
  <si>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</si>
  <si>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</si>
  <si>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</si>
  <si>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</si>
  <si>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</si>
  <si>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</si>
  <si>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</si>
  <si>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</si>
  <si>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</si>
  <si>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</si>
  <si>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</si>
  <si>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</si>
  <si>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</si>
  <si>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</si>
  <si>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</si>
  <si>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</si>
  <si>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</si>
  <si>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</si>
  <si>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</si>
  <si>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</si>
  <si>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</si>
  <si>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</si>
  <si>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</si>
  <si>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</si>
  <si>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</si>
  <si>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</si>
  <si>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</si>
  <si>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</si>
  <si>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</si>
  <si>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</si>
  <si>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</si>
  <si>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</si>
  <si>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</si>
  <si>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</si>
  <si>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</si>
  <si>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</si>
  <si>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</si>
  <si>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</si>
  <si>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</si>
  <si>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</si>
  <si>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</si>
  <si>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</si>
  <si>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</si>
  <si>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</si>
  <si>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</si>
  <si>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</si>
  <si>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</si>
  <si>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</si>
  <si>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</si>
  <si>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</si>
  <si>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</si>
  <si>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</si>
  <si>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</si>
  <si>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</si>
  <si>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</si>
  <si>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</si>
  <si>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</si>
  <si>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</si>
  <si>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</si>
  <si>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</si>
  <si>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</si>
  <si>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</si>
  <si>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</si>
  <si>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</si>
  <si>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</si>
  <si>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</si>
  <si>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</si>
  <si>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</si>
  <si>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</si>
  <si>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</si>
  <si>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</si>
  <si>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</si>
  <si>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</si>
  <si>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</si>
  <si>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</si>
  <si>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</si>
  <si>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</si>
  <si>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</si>
  <si>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</si>
  <si>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</si>
  <si>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</si>
  <si>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</si>
  <si>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</si>
  <si>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</si>
  <si>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</si>
  <si>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</si>
  <si>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</si>
  <si>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</si>
  <si>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</si>
  <si>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</si>
  <si>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</si>
  <si>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</si>
  <si>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</si>
  <si>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</si>
  <si>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</si>
  <si>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</si>
  <si>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</si>
  <si>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</si>
  <si>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</si>
  <si>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</si>
  <si>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</si>
  <si>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</si>
  <si>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</si>
  <si>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</si>
  <si>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</si>
  <si>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</si>
  <si>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</si>
  <si>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</si>
  <si>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</si>
  <si>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</si>
  <si>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</si>
  <si>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</si>
  <si>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</si>
  <si>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</si>
  <si>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</si>
  <si>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</si>
  <si>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</si>
  <si>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</si>
  <si>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</si>
  <si>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</si>
  <si>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</si>
  <si>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</si>
  <si>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</si>
  <si>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</si>
  <si>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</si>
  <si>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</si>
  <si>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</si>
  <si>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</si>
  <si>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</si>
  <si>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</si>
  <si>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</si>
  <si>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</si>
  <si>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</si>
  <si>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</si>
  <si>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</si>
  <si>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</si>
  <si>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</si>
  <si>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</si>
  <si>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</si>
  <si>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</si>
  <si>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</si>
  <si>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</si>
  <si>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</si>
  <si>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</si>
  <si>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</si>
  <si>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</si>
  <si>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</si>
  <si>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</si>
  <si>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</si>
  <si>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</si>
  <si>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</si>
  <si>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</si>
  <si>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</si>
  <si>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</si>
  <si>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</si>
  <si>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</si>
  <si>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</si>
  <si>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</si>
  <si>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</si>
  <si>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</si>
  <si>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</si>
  <si>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</si>
  <si>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</si>
  <si>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</si>
  <si>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</si>
  <si>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</si>
  <si>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</si>
  <si>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</si>
  <si>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</si>
  <si>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</si>
  <si>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</si>
  <si>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</si>
  <si>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</si>
  <si>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</si>
  <si>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</si>
  <si>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</si>
  <si>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</si>
  <si>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</si>
  <si>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</si>
  <si>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</si>
  <si>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</si>
  <si>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</si>
  <si>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</si>
  <si>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</si>
  <si>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</si>
  <si>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</si>
  <si>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</si>
  <si>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</si>
  <si>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</si>
  <si>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</si>
  <si>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</si>
  <si>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</si>
  <si>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</si>
  <si>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</si>
  <si>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</si>
  <si>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</si>
  <si>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</si>
  <si>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</si>
  <si>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</si>
  <si>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</si>
  <si>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</si>
  <si>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</si>
  <si>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</si>
  <si>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</si>
  <si>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</si>
  <si>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</si>
  <si>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</si>
  <si>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</si>
  <si>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</si>
  <si>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</si>
  <si>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</si>
  <si>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</si>
  <si>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</si>
  <si>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</si>
  <si>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</si>
  <si>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</si>
  <si>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</si>
  <si>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</si>
  <si>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</si>
  <si>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</si>
  <si>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</si>
  <si>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</si>
  <si>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</si>
  <si>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</si>
  <si>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</si>
  <si>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</si>
  <si>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</si>
  <si>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</si>
  <si>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</si>
  <si>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</si>
  <si>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</si>
  <si>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</si>
  <si>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</si>
  <si>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</si>
  <si>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</si>
  <si>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</si>
  <si>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</si>
  <si>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</si>
  <si>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</si>
  <si>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</si>
  <si>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</si>
  <si>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</si>
  <si>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</si>
  <si>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</si>
  <si>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</si>
  <si>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</si>
  <si>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</si>
  <si>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</si>
  <si>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</si>
  <si>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</si>
  <si>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</si>
  <si>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</si>
  <si>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</si>
  <si>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</si>
  <si>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</si>
  <si>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</si>
  <si>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</si>
  <si>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</si>
  <si>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</si>
  <si>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</si>
  <si>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</si>
  <si>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</si>
  <si>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</si>
  <si>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</si>
  <si>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</si>
  <si>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</si>
  <si>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</si>
  <si>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</si>
  <si>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</si>
  <si>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</si>
  <si>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</si>
  <si>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</si>
  <si>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</si>
  <si>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</si>
  <si>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</si>
  <si>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</si>
  <si>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</si>
  <si>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</si>
  <si>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</si>
  <si>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</si>
  <si>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</si>
  <si>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</si>
  <si>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</si>
  <si>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</si>
  <si>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</si>
  <si>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</si>
  <si>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</si>
  <si>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</si>
  <si>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</si>
  <si>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</si>
  <si>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</si>
  <si>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</si>
  <si>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</si>
  <si>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</si>
  <si>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</si>
  <si>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</si>
  <si>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</si>
  <si>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</si>
  <si>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</si>
  <si>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</si>
  <si>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</si>
  <si>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</si>
  <si>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</si>
  <si>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</si>
  <si>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</si>
  <si>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</si>
  <si>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</si>
  <si>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</si>
  <si>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</si>
  <si>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</si>
  <si>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</si>
  <si>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</si>
  <si>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</si>
  <si>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</si>
  <si>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</si>
  <si>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</si>
  <si>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</si>
  <si>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</si>
  <si>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</si>
  <si>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</si>
  <si>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</si>
  <si>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</si>
  <si>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</si>
  <si>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</si>
  <si>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</si>
  <si>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</si>
  <si>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</si>
  <si>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</si>
  <si>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</si>
  <si>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</si>
  <si>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</si>
  <si>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</si>
  <si>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</si>
  <si>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</si>
  <si>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</si>
  <si>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</si>
  <si>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</si>
  <si>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</si>
  <si>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</si>
  <si>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</si>
  <si>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</si>
  <si>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</si>
  <si>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</si>
  <si>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</si>
  <si>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</si>
  <si>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</si>
  <si>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</si>
  <si>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</si>
  <si>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</si>
  <si>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</si>
  <si>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</si>
  <si>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</si>
  <si>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</si>
  <si>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</si>
  <si>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</si>
  <si>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</si>
  <si>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</si>
  <si>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</si>
  <si>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</si>
  <si>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</si>
  <si>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</si>
  <si>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</si>
  <si>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</si>
  <si>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</si>
  <si>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</si>
  <si>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</si>
  <si>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</si>
  <si>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</si>
  <si>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</si>
  <si>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</si>
  <si>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</si>
  <si>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</si>
  <si>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</si>
  <si>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</si>
  <si>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</si>
  <si>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</si>
  <si>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</si>
  <si>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</si>
  <si>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</si>
  <si>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</si>
  <si>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</si>
  <si>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</si>
  <si>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</si>
  <si>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</si>
  <si>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</si>
  <si>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</si>
  <si>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</si>
  <si>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</si>
  <si>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</si>
  <si>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</si>
  <si>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</si>
  <si>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</si>
  <si>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</si>
  <si>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</si>
  <si>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</si>
  <si>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</si>
  <si>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</si>
  <si>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</si>
  <si>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</si>
  <si>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</si>
  <si>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</si>
  <si>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</si>
  <si>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</si>
  <si>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</si>
  <si>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</si>
  <si>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</si>
  <si>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</si>
  <si>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</si>
  <si>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</si>
  <si>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</si>
  <si>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</si>
  <si>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</si>
  <si>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</si>
  <si>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</si>
  <si>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</si>
  <si>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</si>
  <si>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</si>
  <si>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</si>
  <si>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</si>
  <si>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</si>
  <si>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</si>
  <si>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</si>
  <si>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</si>
  <si>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</si>
  <si>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</si>
  <si>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</si>
  <si>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</si>
  <si>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</si>
  <si>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</si>
  <si>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</si>
  <si>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</si>
  <si>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</si>
  <si>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</si>
  <si>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</si>
  <si>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</si>
  <si>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</si>
  <si>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</si>
  <si>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</si>
  <si>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</si>
  <si>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</si>
  <si>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</si>
  <si>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</si>
  <si>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</si>
  <si>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</si>
  <si>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</si>
  <si>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</si>
  <si>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</si>
  <si>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</si>
  <si>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</si>
  <si>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</si>
  <si>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</si>
  <si>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</si>
  <si>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</si>
  <si>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</si>
  <si>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</si>
  <si>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</si>
  <si>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</si>
  <si>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</si>
  <si>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</si>
  <si>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</si>
  <si>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</si>
  <si>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</si>
  <si>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</si>
  <si>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</si>
  <si>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</si>
  <si>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</si>
  <si>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</si>
  <si>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</si>
  <si>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</si>
  <si>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</si>
  <si>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</si>
  <si>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</si>
  <si>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</si>
  <si>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</si>
  <si>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</si>
  <si>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</si>
  <si>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</si>
  <si>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</si>
  <si>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</si>
  <si>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</si>
  <si>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</si>
  <si>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</si>
  <si>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</si>
  <si>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</si>
  <si>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</si>
  <si>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</si>
  <si>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</si>
  <si>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</si>
  <si>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</si>
  <si>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</si>
  <si>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</si>
  <si>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</si>
  <si>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</si>
  <si>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</si>
  <si>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</si>
  <si>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</si>
  <si>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</si>
  <si>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</si>
  <si>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</si>
  <si>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</si>
  <si>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</si>
  <si>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</si>
  <si>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</si>
  <si>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</si>
  <si>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</si>
  <si>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</si>
  <si>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</si>
  <si>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</si>
  <si>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</si>
  <si>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</si>
  <si>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</si>
  <si>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</si>
  <si>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</si>
  <si>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</si>
  <si>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</si>
  <si>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</si>
  <si>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</si>
  <si>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</si>
  <si>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</si>
  <si>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</si>
  <si>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</si>
  <si>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</si>
  <si>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</si>
  <si>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</si>
  <si>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</si>
  <si>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</si>
  <si>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</si>
  <si>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</si>
  <si>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</si>
  <si>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</si>
  <si>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</si>
  <si>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</si>
  <si>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</si>
  <si>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</si>
  <si>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</si>
  <si>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</si>
  <si>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</si>
  <si>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</si>
  <si>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</si>
  <si>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</si>
  <si>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</si>
  <si>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</si>
  <si>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</si>
  <si>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</si>
  <si>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</si>
  <si>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</si>
  <si>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</si>
  <si>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</si>
  <si>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</si>
  <si>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</si>
  <si>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</si>
  <si>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</si>
  <si>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</si>
  <si>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</si>
  <si>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</si>
  <si>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</si>
  <si>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</si>
  <si>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</si>
  <si>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</si>
  <si>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</si>
  <si>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</si>
  <si>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</si>
  <si>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</si>
  <si>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</si>
  <si>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</si>
  <si>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</si>
  <si>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</si>
  <si>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</si>
  <si>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</si>
  <si>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</si>
  <si>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</si>
  <si>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</si>
  <si>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</si>
  <si>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</si>
  <si>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</si>
  <si>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</si>
  <si>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</si>
  <si>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</si>
  <si>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</si>
  <si>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</si>
  <si>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</si>
  <si>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</si>
  <si>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</si>
  <si>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</si>
  <si>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</si>
  <si>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</si>
  <si>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</si>
  <si>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</si>
  <si>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</si>
  <si>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</si>
  <si>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</si>
  <si>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</si>
  <si>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</si>
  <si>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</si>
  <si>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</si>
  <si>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</si>
  <si>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</si>
  <si>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</si>
  <si>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</si>
  <si>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</si>
  <si>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</si>
  <si>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</si>
  <si>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</si>
  <si>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</si>
  <si>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</si>
  <si>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</si>
  <si>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</si>
  <si>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</si>
  <si>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</si>
  <si>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</si>
  <si>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</si>
  <si>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</si>
  <si>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</si>
  <si>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</si>
  <si>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</si>
  <si>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</si>
  <si>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</si>
  <si>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</si>
  <si>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</si>
  <si>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</si>
  <si>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</si>
  <si>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</si>
  <si>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</si>
  <si>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</si>
  <si>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</si>
  <si>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</si>
  <si>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</si>
  <si>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</si>
  <si>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</si>
  <si>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</si>
  <si>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</si>
  <si>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</si>
  <si>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</si>
  <si>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</si>
  <si>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</si>
  <si>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</si>
  <si>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</si>
  <si>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</si>
  <si>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</si>
  <si>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</si>
  <si>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</si>
  <si>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</si>
  <si>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</si>
  <si>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</si>
  <si>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</si>
  <si>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</si>
  <si>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</si>
  <si>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</si>
  <si>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</si>
  <si>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</si>
  <si>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</si>
  <si>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</si>
  <si>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</si>
  <si>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</si>
  <si>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</si>
  <si>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</si>
  <si>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</si>
  <si>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</si>
  <si>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</si>
  <si>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</si>
  <si>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</si>
  <si>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</si>
  <si>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</si>
  <si>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</si>
  <si>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</si>
  <si>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</si>
  <si>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</si>
  <si>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</si>
  <si>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</si>
  <si>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</si>
  <si>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</si>
  <si>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</si>
  <si>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</si>
  <si>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</si>
  <si>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</si>
  <si>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</si>
  <si>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</si>
  <si>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</si>
  <si>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</si>
  <si>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</si>
  <si>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</si>
  <si>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</si>
  <si>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</si>
  <si>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</si>
  <si>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</si>
  <si>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</si>
  <si>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</si>
  <si>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</si>
  <si>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</si>
  <si>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</si>
  <si>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</si>
  <si>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</si>
  <si>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</si>
  <si>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</si>
  <si>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</si>
  <si>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</si>
  <si>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</si>
  <si>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</si>
  <si>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</si>
  <si>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</si>
  <si>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</si>
  <si>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</si>
  <si>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</si>
  <si>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</si>
  <si>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</si>
  <si>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</si>
  <si>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</si>
  <si>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</si>
  <si>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</si>
  <si>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</si>
  <si>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</si>
  <si>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</si>
  <si>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</si>
  <si>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</si>
  <si>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</si>
  <si>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</si>
  <si>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</si>
  <si>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</si>
  <si>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</si>
  <si>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</si>
  <si>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</si>
  <si>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</si>
  <si>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</si>
  <si>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</si>
  <si>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</si>
  <si>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</si>
  <si>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</si>
  <si>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</si>
  <si>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</si>
  <si>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</si>
  <si>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</si>
  <si>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</si>
  <si>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</si>
  <si>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</si>
  <si>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</si>
  <si>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</si>
  <si>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</si>
  <si>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</si>
  <si>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</si>
  <si>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</si>
  <si>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</si>
  <si>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</si>
  <si>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</si>
  <si>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</si>
  <si>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</si>
  <si>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</si>
  <si>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</si>
  <si>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</si>
  <si>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</si>
  <si>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</si>
  <si>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</si>
  <si>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</si>
  <si>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</si>
  <si>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</si>
  <si>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</si>
  <si>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</si>
  <si>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</si>
  <si>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</si>
  <si>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</si>
  <si>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</si>
  <si>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</si>
  <si>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</si>
  <si>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</si>
  <si>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</si>
  <si>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</si>
  <si>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</si>
  <si>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</si>
  <si>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</si>
  <si>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</si>
  <si>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</si>
  <si>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</si>
  <si>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</si>
  <si>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</si>
  <si>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</si>
  <si>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</si>
  <si>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</si>
  <si>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</si>
  <si>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</si>
  <si>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</si>
  <si>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</si>
  <si>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</si>
  <si>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</si>
  <si>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</si>
  <si>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</si>
  <si>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</si>
  <si>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</si>
  <si>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</si>
  <si>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</si>
  <si>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</si>
  <si>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</si>
  <si>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</si>
  <si>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</si>
  <si>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</si>
  <si>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</si>
  <si>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</si>
  <si>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</si>
  <si>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</si>
  <si>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</si>
  <si>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</si>
  <si>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</si>
  <si>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</si>
  <si>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</si>
  <si>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</si>
  <si>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</si>
  <si>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</si>
  <si>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</si>
  <si>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</si>
  <si>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</si>
  <si>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</si>
  <si>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</si>
  <si>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</si>
  <si>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</si>
  <si>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</si>
  <si>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</si>
  <si>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</si>
  <si>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</si>
  <si>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</si>
  <si>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</si>
  <si>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</si>
  <si>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</si>
  <si>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</si>
  <si>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</si>
  <si>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</si>
  <si>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</si>
  <si>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</si>
  <si>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</si>
  <si>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</si>
  <si>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</si>
  <si>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</si>
  <si>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</si>
  <si>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</si>
  <si>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</si>
  <si>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</si>
  <si>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</si>
  <si>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</si>
  <si>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</si>
  <si>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</si>
  <si>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</si>
  <si>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</si>
  <si>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</si>
  <si>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</si>
  <si>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</si>
  <si>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</si>
  <si>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</si>
  <si>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</si>
  <si>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</si>
  <si>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</si>
  <si>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</si>
  <si>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</si>
  <si>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</si>
  <si>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</si>
  <si>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</si>
  <si>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</si>
  <si>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</si>
  <si>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</si>
  <si>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</si>
  <si>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</si>
  <si>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</si>
  <si>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</si>
  <si>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</si>
  <si>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</si>
  <si>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</si>
  <si>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</si>
  <si>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</si>
  <si>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</si>
  <si>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</si>
  <si>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</si>
  <si>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</si>
  <si>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</si>
  <si>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</si>
  <si>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</si>
  <si>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</si>
  <si>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</si>
  <si>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</si>
  <si>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</si>
  <si>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</si>
  <si>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</si>
  <si>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</si>
  <si>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</si>
  <si>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</si>
  <si>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</si>
  <si>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</si>
  <si>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</si>
  <si>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</si>
  <si>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</si>
  <si>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</si>
  <si>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</si>
  <si>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</si>
  <si>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</si>
  <si>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</si>
  <si>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</si>
  <si>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</si>
  <si>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</si>
  <si>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</si>
  <si>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</si>
  <si>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</si>
  <si>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</si>
  <si>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</si>
  <si>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</si>
  <si>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</si>
  <si>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</si>
  <si>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</si>
  <si>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</si>
  <si>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</si>
  <si>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</si>
  <si>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</si>
  <si>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</si>
  <si>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</si>
  <si>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</si>
  <si>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</si>
  <si>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</si>
  <si>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</si>
  <si>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</si>
  <si>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</si>
  <si>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</si>
  <si>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</si>
  <si>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</si>
  <si>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</si>
  <si>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</si>
  <si>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</si>
  <si>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</si>
  <si>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</si>
  <si>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</si>
  <si>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</si>
  <si>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</si>
  <si>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</si>
  <si>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</si>
  <si>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</si>
  <si>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</si>
  <si>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</si>
  <si>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</si>
  <si>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</si>
  <si>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</si>
  <si>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</si>
  <si>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</si>
  <si>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</si>
  <si>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</si>
  <si>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</si>
  <si>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</si>
  <si>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</si>
  <si>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</si>
  <si>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</si>
  <si>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</si>
  <si>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</si>
  <si>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</si>
  <si>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</si>
  <si>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</si>
  <si>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</si>
  <si>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</si>
  <si>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</si>
  <si>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</si>
  <si>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</si>
  <si>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</si>
  <si>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</si>
  <si>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</si>
  <si>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</si>
  <si>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</si>
  <si>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</si>
  <si>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</si>
  <si>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</si>
  <si>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</si>
  <si>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</si>
  <si>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</si>
  <si>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</si>
  <si>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</si>
  <si>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</si>
  <si>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</si>
  <si>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</si>
  <si>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</si>
  <si>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</si>
  <si>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</si>
  <si>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</si>
  <si>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</si>
  <si>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</si>
  <si>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</si>
  <si>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</si>
  <si>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</si>
  <si>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</si>
  <si>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</si>
  <si>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</si>
  <si>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</si>
  <si>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</si>
  <si>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</si>
  <si>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</si>
  <si>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</si>
  <si>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</si>
  <si>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</si>
  <si>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</si>
  <si>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</si>
  <si>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</si>
  <si>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</si>
  <si>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</si>
  <si>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</si>
  <si>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</si>
  <si>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</si>
  <si>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</si>
  <si>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</si>
  <si>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</si>
  <si>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</si>
  <si>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</si>
  <si>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</si>
  <si>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</si>
  <si>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</si>
  <si>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</si>
  <si>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</si>
  <si>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</si>
  <si>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</si>
  <si>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</si>
  <si>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</si>
  <si>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</si>
  <si>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</si>
  <si>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</si>
  <si>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</si>
  <si>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</si>
  <si>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</si>
  <si>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</si>
  <si>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</si>
  <si>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</si>
  <si>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</si>
  <si>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</si>
  <si>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</si>
  <si>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</si>
  <si>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</si>
  <si>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</si>
  <si>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</si>
  <si>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</si>
  <si>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</si>
  <si>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</si>
  <si>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</si>
  <si>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</si>
  <si>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</si>
  <si>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</si>
  <si>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</si>
  <si>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</si>
  <si>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</si>
  <si>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</si>
  <si>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</si>
  <si>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</si>
  <si>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</si>
  <si>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</si>
  <si>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</si>
  <si>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</si>
  <si>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</si>
  <si>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</si>
  <si>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</si>
  <si>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</si>
  <si>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</si>
  <si>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</si>
  <si>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</si>
  <si>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</si>
  <si>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</si>
  <si>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</si>
  <si>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</si>
  <si>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</si>
  <si>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</si>
  <si>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</si>
  <si>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</si>
  <si>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</si>
  <si>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</si>
  <si>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</si>
  <si>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</si>
  <si>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</si>
  <si>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</si>
  <si>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</si>
  <si>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</si>
  <si>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</si>
  <si>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</si>
  <si>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</si>
  <si>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</si>
  <si>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</si>
  <si>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</si>
  <si>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</si>
  <si>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</si>
  <si>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</si>
  <si>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</si>
  <si>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</si>
  <si>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</si>
  <si>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</si>
  <si>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</si>
  <si>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</si>
  <si>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</si>
  <si>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</si>
  <si>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</si>
  <si>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</si>
  <si>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</si>
  <si>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</si>
  <si>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</si>
  <si>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</si>
  <si>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</si>
  <si>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</si>
  <si>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</si>
  <si>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</si>
  <si>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</si>
  <si>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</si>
  <si>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</si>
  <si>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</si>
  <si>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</si>
  <si>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</si>
  <si>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</si>
  <si>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</si>
  <si>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</si>
  <si>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</si>
  <si>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</si>
  <si>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</si>
  <si>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</si>
  <si>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</si>
  <si>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</si>
  <si>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</si>
  <si>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</si>
  <si>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</si>
  <si>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</si>
  <si>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</si>
  <si>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</si>
  <si>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</si>
  <si>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</si>
  <si>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</si>
  <si>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</si>
  <si>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</si>
  <si>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</si>
  <si>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</si>
  <si>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</si>
  <si>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</si>
  <si>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</si>
  <si>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</si>
  <si>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</si>
  <si>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</si>
  <si>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</si>
  <si>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</si>
  <si>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</si>
  <si>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</si>
  <si>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</si>
  <si>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</si>
  <si>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</si>
  <si>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</si>
  <si>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</si>
  <si>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</si>
  <si>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</si>
  <si>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</si>
  <si>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</si>
  <si>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</si>
  <si>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</si>
  <si>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</si>
  <si>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</si>
  <si>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</si>
  <si>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</si>
  <si>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</si>
  <si>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</si>
  <si>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</si>
  <si>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</si>
  <si>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</si>
  <si>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</si>
  <si>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</si>
  <si>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</si>
  <si>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</si>
  <si>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</si>
  <si>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</si>
  <si>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</si>
  <si>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</si>
  <si>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</si>
  <si>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</si>
  <si>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</si>
  <si>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</si>
  <si>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</si>
  <si>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</si>
  <si>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</si>
  <si>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</si>
  <si>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</si>
  <si>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</si>
  <si>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</si>
  <si>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</si>
  <si>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</si>
  <si>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</si>
  <si>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</si>
  <si>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</si>
  <si>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</si>
  <si>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</si>
  <si>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</si>
  <si>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</si>
  <si>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</si>
  <si>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</si>
  <si>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</si>
  <si>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</si>
  <si>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</si>
  <si>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</si>
  <si>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</si>
  <si>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</si>
  <si>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</si>
  <si>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</si>
  <si>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</si>
  <si>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</si>
  <si>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</si>
  <si>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</si>
  <si>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</si>
  <si>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</si>
  <si>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</si>
  <si>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</si>
  <si>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</si>
  <si>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</si>
  <si>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</si>
  <si>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</si>
  <si>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</si>
  <si>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</si>
  <si>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</si>
  <si>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</si>
  <si>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</si>
  <si>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</si>
  <si>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</si>
  <si>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</si>
  <si>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</si>
  <si>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</si>
  <si>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</si>
  <si>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</si>
  <si>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</si>
  <si>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</si>
  <si>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</si>
  <si>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</si>
  <si>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</si>
  <si>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</si>
  <si>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</si>
  <si>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</si>
  <si>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</si>
  <si>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</si>
  <si>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</si>
  <si>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</si>
  <si>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</si>
  <si>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</si>
  <si>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</si>
  <si>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</si>
  <si>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</si>
  <si>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</si>
  <si>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</si>
  <si>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</si>
  <si>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</si>
  <si>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</si>
  <si>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</si>
  <si>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</si>
  <si>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</si>
  <si>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</si>
  <si>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</si>
  <si>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</si>
  <si>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</si>
  <si>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</si>
  <si>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</si>
  <si>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</si>
  <si>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</si>
  <si>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</si>
  <si>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</si>
  <si>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</si>
  <si>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</si>
  <si>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</si>
  <si>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</si>
  <si>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</si>
  <si>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</si>
  <si>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</si>
  <si>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</si>
  <si>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</si>
  <si>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</si>
  <si>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</si>
  <si>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</si>
  <si>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</si>
  <si>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</si>
  <si>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</si>
  <si>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</si>
  <si>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</si>
  <si>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</si>
  <si>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</si>
  <si>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</si>
  <si>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</si>
  <si>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</si>
  <si>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</si>
  <si>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</si>
  <si>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</si>
  <si>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</si>
  <si>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</si>
  <si>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</si>
  <si>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</si>
  <si>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</si>
  <si>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</si>
  <si>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</si>
  <si>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</si>
  <si>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</si>
  <si>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</si>
  <si>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</si>
  <si>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</si>
  <si>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</si>
  <si>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</si>
  <si>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</si>
  <si>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</si>
  <si>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</si>
  <si>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</si>
  <si>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</si>
  <si>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</si>
  <si>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</si>
  <si>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</si>
  <si>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</si>
  <si>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</si>
  <si>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</si>
  <si>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</si>
  <si>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</si>
  <si>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</si>
  <si>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</si>
  <si>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</si>
  <si>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</si>
  <si>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</si>
  <si>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</si>
  <si>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</si>
  <si>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</si>
  <si>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</si>
  <si>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</si>
  <si>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</si>
  <si>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</si>
  <si>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</si>
  <si>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</si>
  <si>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</si>
  <si>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</si>
  <si>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</si>
  <si>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</si>
  <si>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</si>
  <si>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</si>
  <si>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</si>
  <si>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</si>
  <si>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</si>
  <si>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</si>
  <si>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</si>
  <si>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</si>
  <si>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</si>
  <si>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</si>
  <si>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</si>
  <si>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</si>
  <si>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</si>
  <si>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</si>
  <si>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</si>
  <si>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</si>
  <si>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</si>
  <si>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</si>
  <si>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</si>
  <si>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</si>
  <si>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</si>
  <si>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</si>
  <si>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</si>
  <si>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</si>
  <si>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</si>
  <si>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</si>
  <si>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</si>
  <si>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</si>
  <si>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</si>
  <si>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</si>
  <si>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</si>
  <si>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</si>
  <si>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</si>
  <si>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</si>
  <si>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</si>
  <si>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</si>
  <si>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</si>
  <si>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</si>
  <si>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</si>
  <si>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</si>
  <si>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</si>
  <si>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</si>
  <si>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</si>
  <si>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</si>
  <si>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</si>
  <si>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</si>
  <si>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</si>
  <si>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</si>
  <si>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</si>
  <si>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</si>
  <si>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</si>
  <si>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</si>
  <si>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</si>
  <si>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</si>
  <si>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</si>
  <si>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</si>
  <si>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</si>
  <si>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</si>
  <si>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</si>
  <si>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</si>
  <si>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</si>
  <si>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</si>
  <si>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</si>
  <si>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</si>
  <si>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</si>
  <si>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</si>
  <si>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</si>
  <si>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</si>
  <si>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</si>
  <si>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</si>
  <si>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</si>
  <si>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</si>
  <si>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</si>
  <si>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</si>
  <si>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</si>
  <si>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</si>
  <si>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</si>
  <si>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</si>
  <si>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</si>
  <si>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</si>
  <si>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</si>
  <si>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</si>
  <si>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</si>
  <si>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</si>
  <si>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</si>
  <si>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</si>
  <si>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</si>
  <si>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</si>
  <si>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</si>
  <si>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</si>
  <si>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</si>
  <si>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</si>
  <si>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</si>
  <si>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</si>
  <si>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</si>
  <si>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</si>
  <si>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</si>
  <si>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</si>
  <si>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</si>
  <si>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</si>
  <si>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</si>
  <si>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</si>
  <si>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</si>
  <si>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</si>
  <si>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</si>
  <si>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</si>
  <si>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</si>
  <si>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</si>
  <si>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</si>
  <si>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</si>
  <si>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</si>
  <si>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</si>
  <si>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</si>
  <si>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</si>
  <si>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</si>
  <si>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</si>
  <si>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</si>
  <si>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</si>
  <si>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</si>
  <si>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</si>
  <si>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</si>
  <si>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</si>
  <si>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</si>
  <si>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</si>
  <si>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</si>
  <si>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</si>
  <si>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</si>
  <si>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</si>
  <si>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</si>
  <si>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</si>
  <si>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</si>
  <si>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</si>
  <si>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</si>
  <si>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</si>
  <si>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</si>
  <si>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</si>
  <si>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</si>
  <si>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</si>
  <si>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</si>
  <si>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</si>
  <si>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</si>
  <si>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</si>
  <si>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</si>
  <si>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</si>
  <si>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</si>
  <si>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</si>
  <si>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</si>
  <si>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</si>
  <si>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</si>
  <si>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</si>
  <si>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</si>
  <si>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</si>
  <si>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</si>
  <si>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</si>
  <si>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</si>
  <si>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</si>
  <si>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</si>
  <si>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</si>
  <si>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</si>
  <si>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</si>
  <si>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</si>
  <si>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</si>
  <si>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</si>
  <si>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</si>
  <si>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</si>
  <si>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</si>
  <si>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</si>
  <si>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</si>
  <si>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</si>
  <si>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</si>
  <si>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</si>
  <si>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</si>
  <si>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</si>
  <si>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</si>
  <si>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</si>
  <si>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</si>
  <si>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</si>
  <si>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</si>
  <si>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</si>
  <si>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</si>
  <si>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</si>
  <si>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</si>
  <si>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</si>
  <si>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</si>
  <si>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</si>
  <si>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</si>
  <si>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</si>
  <si>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</si>
  <si>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</si>
  <si>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</si>
  <si>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</si>
  <si>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</si>
  <si>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</si>
  <si>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</si>
  <si>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</si>
  <si>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</si>
  <si>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</si>
  <si>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</si>
  <si>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</si>
  <si>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</si>
  <si>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</si>
  <si>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</si>
  <si>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</si>
  <si>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</si>
  <si>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</si>
  <si>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</si>
  <si>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</si>
  <si>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</si>
  <si>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</si>
  <si>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</si>
  <si>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</si>
  <si>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</si>
  <si>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</si>
  <si>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</si>
  <si>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</si>
  <si>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</si>
  <si>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</si>
  <si>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</si>
  <si>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</si>
  <si>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</si>
  <si>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</si>
  <si>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</si>
  <si>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</si>
  <si>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</si>
  <si>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</si>
  <si>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</si>
  <si>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</si>
  <si>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</si>
  <si>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</si>
  <si>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</si>
  <si>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</si>
  <si>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</si>
  <si>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</si>
  <si>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</si>
  <si>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</si>
  <si>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</si>
  <si>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</si>
  <si>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</si>
  <si>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</si>
  <si>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</si>
  <si>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</si>
  <si>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</si>
  <si>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</si>
  <si>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</si>
  <si>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</si>
  <si>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</si>
  <si>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</si>
  <si>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</si>
  <si>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</si>
  <si>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</si>
  <si>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</si>
  <si>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</si>
  <si>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</si>
  <si>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</si>
  <si>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</si>
  <si>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</si>
  <si>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</si>
  <si>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</si>
  <si>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</si>
  <si>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</si>
  <si>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</si>
  <si>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</si>
  <si>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</si>
  <si>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</si>
  <si>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</si>
  <si>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</si>
  <si>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</si>
  <si>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</si>
  <si>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</si>
  <si>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</si>
  <si>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</si>
  <si>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</si>
  <si>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</si>
  <si>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</si>
  <si>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</si>
  <si>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</si>
  <si>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</si>
  <si>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</si>
  <si>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</si>
  <si>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</si>
  <si>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</si>
  <si>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</si>
  <si>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</si>
  <si>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</si>
  <si>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</si>
  <si>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</si>
  <si>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</si>
  <si>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</si>
  <si>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</si>
  <si>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</si>
  <si>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</si>
  <si>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</si>
  <si>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</si>
  <si>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</si>
  <si>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</si>
  <si>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</si>
  <si>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</si>
  <si>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</si>
  <si>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</si>
  <si>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</si>
  <si>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</si>
  <si>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</si>
  <si>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</si>
  <si>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</si>
  <si>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</si>
  <si>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</si>
  <si>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</si>
  <si>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</si>
  <si>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</si>
  <si>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</si>
  <si>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</si>
  <si>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</si>
  <si>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</si>
  <si>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</si>
  <si>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</si>
  <si>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</si>
  <si>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</si>
  <si>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</si>
  <si>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</si>
  <si>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</si>
  <si>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</si>
  <si>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</si>
  <si>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</si>
  <si>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</si>
  <si>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</si>
  <si>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</si>
  <si>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</si>
  <si>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</si>
  <si>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</si>
  <si>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</si>
  <si>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</si>
  <si>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</si>
  <si>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</si>
  <si>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</si>
  <si>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</si>
  <si>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</si>
  <si>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</si>
  <si>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</si>
  <si>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</si>
  <si>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</si>
  <si>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</si>
  <si>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</si>
  <si>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</si>
  <si>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</si>
  <si>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</si>
  <si>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</si>
  <si>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</si>
  <si>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</si>
  <si>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</si>
  <si>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</si>
  <si>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</si>
  <si>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</si>
  <si>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</si>
  <si>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</si>
  <si>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</si>
  <si>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</si>
  <si>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</si>
  <si>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</si>
  <si>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</si>
  <si>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</si>
  <si>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</si>
  <si>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</si>
  <si>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</si>
  <si>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</si>
  <si>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</si>
  <si>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</si>
  <si>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</si>
  <si>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</si>
  <si>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</si>
  <si>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</si>
  <si>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</si>
  <si>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</si>
  <si>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</si>
  <si>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</si>
  <si>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</si>
  <si>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</si>
  <si>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</si>
  <si>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</si>
  <si>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</si>
  <si>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</si>
  <si>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</si>
  <si>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</si>
  <si>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</si>
  <si>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</si>
  <si>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</si>
  <si>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</si>
  <si>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</si>
  <si>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</si>
  <si>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</si>
  <si>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</si>
  <si>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</si>
  <si>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</si>
  <si>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</si>
  <si>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</si>
  <si>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</si>
  <si>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</si>
  <si>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</si>
  <si>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</si>
  <si>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</si>
  <si>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</si>
  <si>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</si>
  <si>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</si>
  <si>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</si>
  <si>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</si>
  <si>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</si>
  <si>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</si>
  <si>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</si>
  <si>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</si>
  <si>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</si>
  <si>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</si>
  <si>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</si>
  <si>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</si>
  <si>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</si>
  <si>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</si>
  <si>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</si>
  <si>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</si>
  <si>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</si>
  <si>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</si>
  <si>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</si>
  <si>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</si>
  <si>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</si>
  <si>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</si>
  <si>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</si>
  <si>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</si>
  <si>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</si>
  <si>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</si>
  <si>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</si>
  <si>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</si>
  <si>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</si>
  <si>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</si>
  <si>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</si>
  <si>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</si>
  <si>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</si>
  <si>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</si>
  <si>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</si>
  <si>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</si>
  <si>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</si>
  <si>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</si>
  <si>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</si>
  <si>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</si>
  <si>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</si>
  <si>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</si>
  <si>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</si>
  <si>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</si>
  <si>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</si>
  <si>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</si>
  <si>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</si>
  <si>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</si>
  <si>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</si>
  <si>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</si>
  <si>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</si>
  <si>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</si>
  <si>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</si>
  <si>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</si>
  <si>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</si>
  <si>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</si>
  <si>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</si>
  <si>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</si>
  <si>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</si>
  <si>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</si>
  <si>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</si>
  <si>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</si>
  <si>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</si>
  <si>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</si>
  <si>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</si>
  <si>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</si>
  <si>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</si>
  <si>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</si>
  <si>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</si>
  <si>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</si>
  <si>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</si>
  <si>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</si>
  <si>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</si>
  <si>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</si>
  <si>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</si>
  <si>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</si>
  <si>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</si>
  <si>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</si>
  <si>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</si>
  <si>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</si>
  <si>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</si>
  <si>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</si>
  <si>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</si>
  <si>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</si>
  <si>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</si>
  <si>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</si>
  <si>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</si>
  <si>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</si>
  <si>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</si>
  <si>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</si>
  <si>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</si>
  <si>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</si>
  <si>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</si>
  <si>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</si>
  <si>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</si>
  <si>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</si>
  <si>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</si>
  <si>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</si>
  <si>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</si>
  <si>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</si>
  <si>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</si>
  <si>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</si>
  <si>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</si>
  <si>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</si>
  <si>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</si>
  <si>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</si>
  <si>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</si>
  <si>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</si>
  <si>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</si>
  <si>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</si>
  <si>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</si>
  <si>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</si>
  <si>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</si>
  <si>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</si>
  <si>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</si>
  <si>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</si>
  <si>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</si>
  <si>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</si>
  <si>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</si>
  <si>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</si>
  <si>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</si>
  <si>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</si>
  <si>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</si>
  <si>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</si>
  <si>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</si>
  <si>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</si>
  <si>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</si>
  <si>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</si>
  <si>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</si>
  <si>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</si>
  <si>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</si>
  <si>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</si>
  <si>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</si>
  <si>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</si>
  <si>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</si>
  <si>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</si>
  <si>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</si>
  <si>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</si>
  <si>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</si>
  <si>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</si>
  <si>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</si>
  <si>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</si>
  <si>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</si>
  <si>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</si>
  <si>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</si>
  <si>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</si>
  <si>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</si>
  <si>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</si>
  <si>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</si>
  <si>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</si>
  <si>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</si>
  <si>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</si>
  <si>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</si>
  <si>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</si>
  <si>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</si>
  <si>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</si>
  <si>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</si>
  <si>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</si>
  <si>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</si>
  <si>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</si>
  <si>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</si>
  <si>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</si>
  <si>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</si>
  <si>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</si>
  <si>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</si>
  <si>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</si>
  <si>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</si>
  <si>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</si>
  <si>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</si>
  <si>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</si>
  <si>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</si>
  <si>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</si>
  <si>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</si>
  <si>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</si>
  <si>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</si>
  <si>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</si>
  <si>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</si>
  <si>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</si>
  <si>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</si>
  <si>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</si>
  <si>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</si>
  <si>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</si>
  <si>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</si>
  <si>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</si>
  <si>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</si>
  <si>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</si>
  <si>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</si>
  <si>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</si>
  <si>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</si>
  <si>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</si>
  <si>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</si>
  <si>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</si>
  <si>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</si>
  <si>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</si>
  <si>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</si>
  <si>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</si>
  <si>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</si>
  <si>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</si>
  <si>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</si>
  <si>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</si>
  <si>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</si>
  <si>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</si>
  <si>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</si>
  <si>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</si>
  <si>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</si>
  <si>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</si>
  <si>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</si>
  <si>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</si>
  <si>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</si>
  <si>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</si>
  <si>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</si>
  <si>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</si>
  <si>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</si>
  <si>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</si>
  <si>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</si>
  <si>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</si>
  <si>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</si>
  <si>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</si>
  <si>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</si>
  <si>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</si>
  <si>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</si>
  <si>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</si>
  <si>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</si>
  <si>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</si>
  <si>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</si>
  <si>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</si>
  <si>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</si>
  <si>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</si>
  <si>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</si>
  <si>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</si>
  <si>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</si>
  <si>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</si>
  <si>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</si>
  <si>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</si>
  <si>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</si>
  <si>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</si>
  <si>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</si>
  <si>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</si>
  <si>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</si>
  <si>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</si>
  <si>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</si>
  <si>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</si>
  <si>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</si>
  <si>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</si>
  <si>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</si>
  <si>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</si>
  <si>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</si>
  <si>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</si>
  <si>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</si>
  <si>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</si>
  <si>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</si>
  <si>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</si>
  <si>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</si>
  <si>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</si>
  <si>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</si>
  <si>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</si>
  <si>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</si>
  <si>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</si>
  <si>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</si>
  <si>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</si>
  <si>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</si>
  <si>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</si>
  <si>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</si>
  <si>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</si>
  <si>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</si>
  <si>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</si>
  <si>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</si>
  <si>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</si>
  <si>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</si>
  <si>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</si>
  <si>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</si>
  <si>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</si>
  <si>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</si>
  <si>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</si>
  <si>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</si>
  <si>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</si>
  <si>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</si>
  <si>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</si>
  <si>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</si>
  <si>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</si>
  <si>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</si>
  <si>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</si>
  <si>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</si>
  <si>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</si>
  <si>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</si>
  <si>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</si>
  <si>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</si>
  <si>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</si>
  <si>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</si>
  <si>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</si>
  <si>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</si>
  <si>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</si>
  <si>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</si>
  <si>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</si>
  <si>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</si>
  <si>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</si>
  <si>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</si>
  <si>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</si>
  <si>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</si>
  <si>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</si>
  <si>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</si>
  <si>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</si>
  <si>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</si>
  <si>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</si>
  <si>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</si>
  <si>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</si>
  <si>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</si>
  <si>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</si>
  <si>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</si>
  <si>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</si>
  <si>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</si>
  <si>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</si>
  <si>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</si>
  <si>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</si>
  <si>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</si>
  <si>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</si>
  <si>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</si>
  <si>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</si>
  <si>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</si>
  <si>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</si>
  <si>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</si>
  <si>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</si>
  <si>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</si>
  <si>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</si>
  <si>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</si>
  <si>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</si>
  <si>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</si>
  <si>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</si>
  <si>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</si>
  <si>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</si>
  <si>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</si>
  <si>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</si>
  <si>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</si>
  <si>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</si>
  <si>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</si>
  <si>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</si>
  <si>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</si>
  <si>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</si>
  <si>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</si>
  <si>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</si>
  <si>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</si>
  <si>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</si>
  <si>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</si>
  <si>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</si>
  <si>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</si>
  <si>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</si>
  <si>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</si>
  <si>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</si>
  <si>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</si>
  <si>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</si>
  <si>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</si>
  <si>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</si>
  <si>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</si>
  <si>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</si>
  <si>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</si>
  <si>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</si>
  <si>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</si>
  <si>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</si>
  <si>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</si>
  <si>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</si>
  <si>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</si>
  <si>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</si>
  <si>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</si>
  <si>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</si>
  <si>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</si>
  <si>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</si>
  <si>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</si>
  <si>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</si>
  <si>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</si>
  <si>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</si>
  <si>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</si>
  <si>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</si>
  <si>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</si>
  <si>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</si>
  <si>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</si>
  <si>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</si>
  <si>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</si>
  <si>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</si>
  <si>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</si>
  <si>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</si>
  <si>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</si>
  <si>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</si>
  <si>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</si>
  <si>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</si>
  <si>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</si>
  <si>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</si>
  <si>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</si>
  <si>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</si>
  <si>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</si>
  <si>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</si>
  <si>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</si>
  <si>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</si>
  <si>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</si>
  <si>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</si>
  <si>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</si>
  <si>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</si>
  <si>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</si>
  <si>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</si>
  <si>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</si>
  <si>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</si>
  <si>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</si>
  <si>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</si>
  <si>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</si>
  <si>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</si>
  <si>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</si>
  <si>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</si>
  <si>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</si>
  <si>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</si>
  <si>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</si>
  <si>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</si>
  <si>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</si>
  <si>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</si>
  <si>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</si>
  <si>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</si>
  <si>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</si>
  <si>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</si>
  <si>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</si>
  <si>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</si>
  <si>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</si>
  <si>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</si>
  <si>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</si>
  <si>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</si>
  <si>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</si>
  <si>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</si>
  <si>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</si>
  <si>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</si>
  <si>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</si>
  <si>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</si>
  <si>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</si>
  <si>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</si>
  <si>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</si>
  <si>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</si>
  <si>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</si>
  <si>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</si>
  <si>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</si>
  <si>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</si>
  <si>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</si>
  <si>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</si>
  <si>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</si>
  <si>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</si>
  <si>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</si>
  <si>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</si>
  <si>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</si>
  <si>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</si>
  <si>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</si>
  <si>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</si>
  <si>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</si>
  <si>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</si>
  <si>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</si>
  <si>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</si>
  <si>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</si>
  <si>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</si>
  <si>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</si>
  <si>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</si>
  <si>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</si>
  <si>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</si>
  <si>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</si>
  <si>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</si>
  <si>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</si>
  <si>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</si>
  <si>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</si>
  <si>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</si>
  <si>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</si>
  <si>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</si>
  <si>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</si>
  <si>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</si>
  <si>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</si>
  <si>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</si>
  <si>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</si>
  <si>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</si>
  <si>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</si>
  <si>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</si>
  <si>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</si>
  <si>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</si>
  <si>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</si>
  <si>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</si>
  <si>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</si>
  <si>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</si>
  <si>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</si>
  <si>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</si>
  <si>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</si>
  <si>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</si>
  <si>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</si>
  <si>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</si>
  <si>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</si>
  <si>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</si>
  <si>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</si>
  <si>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</si>
  <si>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</si>
  <si>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</si>
  <si>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</si>
  <si>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</si>
  <si>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</si>
  <si>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</si>
  <si>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</si>
  <si>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</si>
  <si>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</si>
  <si>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</si>
  <si>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</si>
  <si>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</si>
  <si>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</si>
  <si>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</si>
  <si>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</si>
  <si>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</si>
  <si>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</si>
  <si>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</si>
  <si>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</si>
  <si>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</si>
  <si>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</si>
  <si>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</si>
  <si>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</si>
  <si>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</si>
  <si>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</si>
  <si>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</si>
  <si>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</si>
  <si>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</si>
  <si>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</si>
  <si>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</si>
  <si>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</si>
  <si>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</si>
  <si>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</si>
  <si>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</si>
  <si>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</si>
  <si>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</si>
  <si>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</si>
  <si>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</si>
  <si>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</si>
  <si>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</si>
  <si>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</si>
  <si>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</si>
  <si>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</si>
  <si>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</si>
  <si>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</si>
  <si>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</si>
  <si>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</si>
  <si>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</si>
  <si>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</si>
  <si>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</si>
  <si>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</si>
  <si>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</si>
  <si>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</si>
  <si>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</si>
  <si>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</si>
  <si>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</si>
  <si>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</si>
  <si>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</si>
  <si>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</si>
  <si>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</si>
  <si>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</si>
  <si>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</si>
  <si>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</si>
  <si>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</si>
  <si>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</si>
  <si>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</si>
  <si>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</si>
  <si>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</si>
  <si>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</si>
  <si>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</si>
  <si>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</si>
  <si>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</si>
  <si>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</si>
  <si>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</si>
  <si>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</si>
  <si>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</si>
  <si>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</si>
  <si>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</si>
  <si>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</si>
  <si>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</si>
  <si>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</si>
  <si>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</si>
  <si>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</si>
  <si>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</si>
  <si>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</si>
  <si>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</si>
  <si>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</si>
  <si>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</si>
  <si>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</si>
  <si>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</si>
  <si>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</si>
  <si>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</si>
  <si>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</si>
  <si>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</si>
  <si>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</si>
  <si>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</si>
  <si>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</si>
  <si>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</si>
  <si>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</si>
  <si>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</si>
  <si>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</si>
  <si>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</si>
  <si>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</si>
  <si>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</si>
  <si>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</si>
  <si>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</si>
  <si>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</si>
  <si>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</si>
  <si>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</si>
  <si>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</si>
  <si>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</si>
  <si>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</si>
  <si>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</si>
  <si>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</si>
  <si>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</si>
  <si>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</si>
  <si>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</si>
  <si>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</si>
  <si>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</si>
  <si>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</si>
  <si>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</si>
  <si>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</si>
  <si>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</si>
  <si>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</si>
  <si>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</si>
  <si>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</si>
  <si>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</si>
  <si>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</si>
  <si>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</si>
  <si>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</si>
  <si>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</si>
  <si>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</si>
  <si>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</si>
  <si>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</si>
  <si>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</si>
  <si>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</si>
  <si>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</si>
  <si>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</si>
  <si>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</si>
  <si>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</si>
  <si>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</si>
  <si>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</si>
  <si>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</si>
  <si>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</si>
  <si>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</si>
  <si>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</si>
  <si>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</si>
  <si>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</si>
  <si>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</si>
  <si>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</si>
  <si>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</si>
  <si>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</si>
  <si>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</si>
  <si>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</si>
  <si>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</si>
  <si>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</si>
  <si>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</si>
  <si>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</si>
  <si>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</si>
  <si>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</si>
  <si>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</si>
  <si>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</si>
  <si>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</si>
  <si>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</si>
  <si>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</si>
  <si>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</si>
  <si>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</si>
  <si>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</si>
  <si>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</si>
  <si>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</si>
  <si>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</si>
  <si>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</si>
  <si>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</si>
  <si>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</si>
  <si>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</si>
  <si>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</si>
  <si>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</si>
  <si>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</si>
  <si>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</si>
  <si>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</si>
  <si>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</si>
  <si>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</si>
  <si>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</si>
  <si>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</si>
  <si>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</si>
  <si>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</si>
  <si>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</si>
  <si>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</si>
  <si>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</si>
  <si>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</si>
  <si>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</si>
  <si>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</si>
  <si>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</si>
  <si>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</si>
  <si>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</si>
  <si>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</si>
  <si>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</si>
  <si>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</si>
  <si>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</si>
  <si>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</si>
  <si>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</si>
  <si>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</si>
  <si>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</si>
  <si>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</si>
  <si>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</si>
  <si>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</si>
  <si>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</si>
  <si>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</si>
  <si>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</si>
  <si>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</si>
  <si>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</si>
  <si>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</si>
  <si>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</si>
  <si>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</si>
  <si>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</si>
  <si>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</si>
  <si>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</si>
  <si>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</si>
  <si>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</si>
  <si>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</si>
  <si>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</si>
  <si>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</si>
  <si>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</si>
  <si>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</si>
  <si>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</si>
  <si>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</si>
  <si>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</si>
  <si>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</si>
  <si>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</si>
  <si>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</si>
  <si>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</si>
  <si>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</si>
  <si>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</si>
  <si>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</si>
  <si>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</si>
  <si>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</si>
  <si>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</si>
  <si>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</si>
  <si>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</si>
  <si>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</si>
  <si>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</si>
  <si>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</si>
  <si>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</si>
  <si>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</si>
  <si>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</si>
  <si>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</si>
  <si>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</si>
  <si>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</si>
  <si>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</si>
  <si>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</si>
  <si>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</si>
  <si>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</si>
  <si>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</si>
  <si>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</si>
  <si>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</si>
  <si>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</si>
  <si>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</si>
  <si>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</si>
  <si>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</si>
  <si>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</si>
  <si>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</si>
  <si>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</si>
  <si>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</si>
  <si>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</si>
  <si>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</si>
  <si>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</si>
  <si>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</si>
  <si>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</si>
  <si>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</si>
  <si>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</si>
  <si>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</si>
  <si>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</si>
  <si>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</si>
  <si>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</si>
  <si>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</si>
  <si>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</si>
  <si>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</si>
  <si>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</si>
  <si>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</si>
  <si>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</si>
  <si>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</si>
  <si>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</si>
  <si>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</si>
  <si>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</si>
  <si>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</si>
  <si>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</si>
  <si>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</si>
  <si>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</si>
  <si>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</si>
  <si>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</si>
  <si>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</si>
  <si>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</si>
  <si>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</si>
  <si>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</si>
  <si>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</si>
  <si>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</si>
  <si>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</si>
  <si>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</si>
  <si>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</si>
  <si>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</si>
  <si>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</si>
  <si>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</si>
  <si>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</si>
  <si>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</si>
  <si>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</si>
  <si>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</si>
  <si>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</si>
  <si>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</si>
  <si>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</si>
  <si>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</si>
  <si>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</si>
  <si>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</si>
  <si>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</si>
  <si>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</si>
  <si>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</si>
  <si>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</si>
  <si>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</si>
  <si>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</si>
  <si>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</si>
  <si>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</si>
  <si>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</si>
  <si>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</si>
  <si>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</si>
  <si>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</si>
  <si>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</si>
  <si>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</si>
  <si>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</si>
  <si>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</si>
  <si>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</si>
  <si>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</si>
  <si>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</si>
  <si>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</si>
  <si>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</si>
  <si>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</si>
  <si>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</si>
  <si>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</si>
  <si>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</si>
  <si>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</si>
  <si>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</si>
  <si>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</si>
  <si>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</si>
  <si>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</si>
  <si>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</si>
  <si>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</si>
  <si>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</si>
  <si>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</si>
  <si>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</si>
  <si>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</si>
  <si>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</si>
  <si>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</si>
  <si>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</si>
  <si>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</si>
  <si>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</si>
  <si>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</si>
  <si>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</si>
  <si>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</si>
  <si>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</si>
  <si>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</si>
  <si>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</si>
  <si>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</si>
  <si>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</si>
  <si>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</si>
  <si>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</si>
  <si>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</si>
  <si>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</si>
  <si>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</si>
  <si>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</si>
  <si>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</si>
  <si>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</si>
  <si>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</si>
  <si>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</si>
  <si>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</si>
  <si>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</si>
  <si>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</si>
  <si>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</si>
  <si>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</si>
  <si>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</si>
  <si>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</si>
  <si>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</si>
  <si>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</si>
  <si>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</si>
  <si>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</si>
  <si>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</si>
  <si>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</si>
  <si>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</si>
  <si>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</si>
  <si>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</si>
  <si>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</si>
  <si>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</si>
  <si>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</si>
  <si>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</si>
  <si>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</si>
  <si>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</si>
  <si>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</si>
  <si>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</si>
  <si>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</si>
  <si>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</si>
  <si>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</si>
  <si>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</si>
  <si>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</si>
  <si>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</si>
  <si>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</si>
  <si>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</si>
  <si>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</si>
  <si>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</si>
  <si>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1#住宅楼</t>
    <phoneticPr fontId="3" type="noConversion"/>
  </si>
  <si>
    <t>2#住宅楼</t>
    <phoneticPr fontId="3" type="noConversion"/>
  </si>
  <si>
    <t>地上</t>
  </si>
  <si>
    <t>普通住宅</t>
  </si>
  <si>
    <t>地下</t>
  </si>
  <si>
    <t>仓储</t>
  </si>
  <si>
    <t>储藏间</t>
  </si>
  <si>
    <t>储藏间</t>
    <phoneticPr fontId="14" type="noConversion"/>
  </si>
  <si>
    <t>1#居服配套楼</t>
    <phoneticPr fontId="3" type="noConversion"/>
  </si>
  <si>
    <t>地下车库</t>
    <phoneticPr fontId="3" type="noConversion"/>
  </si>
  <si>
    <t>车库</t>
  </si>
  <si>
    <t>地库疏散出入口及竖井等</t>
    <phoneticPr fontId="3" type="noConversion"/>
  </si>
  <si>
    <t>3#住宅楼</t>
    <phoneticPr fontId="3" type="noConversion"/>
  </si>
  <si>
    <t>4#住宅楼</t>
    <phoneticPr fontId="3" type="noConversion"/>
  </si>
  <si>
    <t>5#住宅楼</t>
    <phoneticPr fontId="3" type="noConversion"/>
  </si>
  <si>
    <t>6#住宅楼</t>
    <phoneticPr fontId="3" type="noConversion"/>
  </si>
  <si>
    <t>7#住宅楼</t>
    <phoneticPr fontId="3" type="noConversion"/>
  </si>
  <si>
    <t>8#住宅楼</t>
    <phoneticPr fontId="3" type="noConversion"/>
  </si>
  <si>
    <t>9#住宅楼</t>
    <phoneticPr fontId="3" type="noConversion"/>
  </si>
  <si>
    <t>10#住宅楼</t>
    <phoneticPr fontId="3" type="noConversion"/>
  </si>
  <si>
    <t>11#住宅楼</t>
    <phoneticPr fontId="3" type="noConversion"/>
  </si>
  <si>
    <t>12#住宅楼</t>
    <phoneticPr fontId="3" type="noConversion"/>
  </si>
  <si>
    <t>13#住宅楼</t>
    <phoneticPr fontId="3" type="noConversion"/>
  </si>
  <si>
    <t>14#住宅楼</t>
    <phoneticPr fontId="3" type="noConversion"/>
  </si>
  <si>
    <t>15#住宅楼</t>
    <phoneticPr fontId="3" type="noConversion"/>
  </si>
  <si>
    <t>16#住宅楼</t>
    <phoneticPr fontId="3" type="noConversion"/>
  </si>
  <si>
    <t>17#住宅楼</t>
    <phoneticPr fontId="3" type="noConversion"/>
  </si>
  <si>
    <t>2#居服配套楼</t>
    <phoneticPr fontId="3" type="noConversion"/>
  </si>
  <si>
    <t>3#居服配套楼</t>
    <phoneticPr fontId="3" type="noConversion"/>
  </si>
  <si>
    <t>4#居服配套楼</t>
    <phoneticPr fontId="3" type="noConversion"/>
  </si>
  <si>
    <t>5#居服配套楼</t>
    <phoneticPr fontId="3" type="noConversion"/>
  </si>
  <si>
    <t>住宅</t>
    <phoneticPr fontId="7" type="noConversion"/>
  </si>
  <si>
    <t>仓储</t>
    <phoneticPr fontId="7" type="noConversion"/>
  </si>
  <si>
    <t>车库</t>
    <phoneticPr fontId="7" type="noConversion"/>
  </si>
  <si>
    <t>郑燚</t>
  </si>
  <si>
    <t>赵雯</t>
  </si>
  <si>
    <t>抵押</t>
  </si>
  <si>
    <t>抵押价格</t>
  </si>
  <si>
    <t>企业</t>
  </si>
  <si>
    <t>住宅</t>
    <phoneticPr fontId="6" type="noConversion"/>
  </si>
  <si>
    <t>住宅、仓储、车库</t>
    <phoneticPr fontId="6" type="noConversion"/>
  </si>
  <si>
    <t>一致</t>
  </si>
  <si>
    <t>出让</t>
  </si>
  <si>
    <t>《建设工程规划许可证》[]、《出让合同》[]</t>
    <phoneticPr fontId="3" type="noConversion"/>
  </si>
  <si>
    <t>《出让合同》[]</t>
    <phoneticPr fontId="3" type="noConversion"/>
  </si>
  <si>
    <t>否</t>
  </si>
  <si>
    <t>居住项目</t>
  </si>
  <si>
    <t>无</t>
  </si>
  <si>
    <t>场地平整</t>
  </si>
  <si>
    <t>平整</t>
  </si>
  <si>
    <t>通路</t>
  </si>
  <si>
    <t>通电</t>
  </si>
  <si>
    <t>通上水</t>
  </si>
  <si>
    <t>Ⅵ-海淀环保园</t>
  </si>
  <si>
    <t>七通</t>
    <phoneticPr fontId="3" type="noConversion"/>
  </si>
  <si>
    <t>一般</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</si>
  <si>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</si>
  <si>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</si>
  <si>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</si>
  <si>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</si>
  <si>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</si>
  <si>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</si>
  <si>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</si>
  <si>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</si>
  <si>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</si>
  <si>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</si>
  <si>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</si>
  <si>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</si>
  <si>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</si>
  <si>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</si>
  <si>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</si>
  <si>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</si>
  <si>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</si>
  <si>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</si>
  <si>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</si>
  <si>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</si>
  <si>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</si>
  <si>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</si>
  <si>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</si>
  <si>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</si>
  <si>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</si>
  <si>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</si>
  <si>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</si>
  <si>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</si>
  <si>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</si>
  <si>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</si>
  <si>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</si>
  <si>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</si>
  <si>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</si>
  <si>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</si>
  <si>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</si>
  <si>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</si>
  <si>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</si>
  <si>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</si>
  <si>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</si>
  <si>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</si>
  <si>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</si>
  <si>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</si>
  <si>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</si>
  <si>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</si>
  <si>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</si>
  <si>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</si>
  <si>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</si>
  <si>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</si>
  <si>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</si>
  <si>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</si>
  <si>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R2二类居住用地</t>
  </si>
  <si>
    <t>≤30%</t>
  </si>
  <si>
    <t>≤30</t>
  </si>
  <si>
    <t>限地价,限房价,竞自持,报高标准商品住宅建设方案,90/70</t>
  </si>
  <si>
    <t>限地价,限房价,90/70</t>
  </si>
  <si>
    <t>开工中</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</si>
  <si>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</si>
  <si>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</si>
  <si>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</si>
  <si>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</si>
  <si>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</si>
  <si>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</si>
  <si>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</si>
  <si>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</si>
  <si>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</si>
  <si>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</si>
  <si>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</si>
  <si>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</si>
  <si>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</si>
  <si>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</si>
  <si>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</si>
  <si>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</si>
  <si>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</si>
  <si>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</si>
  <si>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</si>
  <si>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</si>
  <si>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</si>
  <si>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</si>
  <si>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</si>
  <si>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</si>
  <si>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</si>
  <si>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</si>
  <si>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</si>
  <si>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</si>
  <si>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</si>
  <si>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</si>
  <si>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</si>
  <si>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</si>
  <si>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</si>
  <si>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</si>
  <si>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</si>
  <si>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</si>
  <si>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</si>
  <si>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</si>
  <si>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</si>
  <si>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</si>
  <si>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</si>
  <si>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</si>
  <si>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</si>
  <si>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</si>
  <si>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</si>
  <si>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</si>
  <si>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</si>
  <si>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</si>
  <si>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</si>
  <si>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</si>
  <si>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</si>
  <si>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</si>
  <si>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</si>
  <si>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</si>
  <si>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</si>
  <si>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</si>
  <si>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</si>
  <si>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</si>
  <si>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</si>
  <si>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</si>
  <si>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</si>
  <si>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</si>
  <si>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</si>
  <si>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</si>
  <si>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</si>
  <si>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</si>
  <si>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</si>
  <si>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</si>
  <si>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</si>
  <si>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</si>
  <si>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</si>
  <si>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</si>
  <si>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</si>
  <si>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</si>
  <si>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</si>
  <si>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</si>
  <si>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</si>
  <si>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</si>
  <si>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</si>
  <si>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</si>
  <si>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</si>
  <si>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2018-1-0699-P01DYGJ1</t>
    <phoneticPr fontId="6" type="noConversion"/>
  </si>
  <si>
    <t>葛洲坝（北京）发展有限公司</t>
    <phoneticPr fontId="6" type="noConversion"/>
  </si>
  <si>
    <t>工商银行总行北京分行望京支行</t>
    <phoneticPr fontId="6" type="noConversion"/>
  </si>
  <si>
    <t>一般</t>
  </si>
  <si>
    <t>一般</t>
    <phoneticPr fontId="3" type="noConversion"/>
  </si>
  <si>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</si>
  <si>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</si>
  <si>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</si>
  <si>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</si>
  <si>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</si>
  <si>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</si>
  <si>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</si>
  <si>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</si>
  <si>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</si>
  <si>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</si>
  <si>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</si>
  <si>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</si>
  <si>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</si>
  <si>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</si>
  <si>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</si>
  <si>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</si>
  <si>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</si>
  <si>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</si>
  <si>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较差</t>
  </si>
  <si>
    <t>差</t>
  </si>
  <si>
    <t>70</t>
    <phoneticPr fontId="26" type="noConversion"/>
  </si>
  <si>
    <t>楼面地价</t>
  </si>
  <si>
    <t>比较法-住宅、综合</t>
  </si>
  <si>
    <t>剩余法-待开发</t>
  </si>
  <si>
    <t>项目全部</t>
  </si>
  <si>
    <t>土地</t>
  </si>
  <si>
    <t>土地（套用方法）</t>
  </si>
  <si>
    <t>押一</t>
  </si>
  <si>
    <t>按租金收入计税</t>
  </si>
  <si>
    <t>钢混</t>
  </si>
  <si>
    <t>不动产收益法</t>
  </si>
  <si>
    <t>北京城建。世华龙樾</t>
    <phoneticPr fontId="3" type="noConversion"/>
  </si>
  <si>
    <t>华润·萬橡府</t>
    <phoneticPr fontId="3" type="noConversion"/>
  </si>
  <si>
    <r>
      <rPr>
        <sz val="11"/>
        <color indexed="8"/>
        <rFont val="仿宋_GB2312"/>
        <family val="3"/>
        <charset val="134"/>
      </rPr>
      <t>正常</t>
    </r>
    <phoneticPr fontId="3" type="noConversion"/>
  </si>
  <si>
    <t>40-50（含）</t>
  </si>
  <si>
    <t>精装修</t>
  </si>
  <si>
    <t>平面车位</t>
  </si>
  <si>
    <t>售价</t>
  </si>
  <si>
    <t>车库</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</si>
  <si>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</si>
  <si>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</si>
  <si>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</si>
  <si>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</si>
  <si>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</si>
  <si>
    <t>专业物业管理</t>
    <phoneticPr fontId="27" type="noConversion"/>
  </si>
  <si>
    <t>普通物业管理</t>
    <phoneticPr fontId="27" type="noConversion"/>
  </si>
  <si>
    <t>五矿万科。如园</t>
    <phoneticPr fontId="3" type="noConversion"/>
  </si>
  <si>
    <t>1:1</t>
    <phoneticPr fontId="27" type="noConversion"/>
  </si>
  <si>
    <t>海淀区“海淀北部地区整体开发”翠湖科技园HD00-0303-6022地块R2二类居住用地</t>
    <phoneticPr fontId="6" type="noConversion"/>
  </si>
  <si>
    <t>《国有建设用地使用权出让合同》[]及附件、《北京市规划委员会关于同意XX项目的规划设计方案的规划意见复函》[]以及《建设工程规划许可证》[]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</si>
</sst>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78" fillId="17" borderId="2" xfId="0" applyNumberFormat="1" applyFont="1" applyFill="1" applyBorder="1" applyAlignment="1" applyProtection="1">
      <alignment horizontal="center" vertical="center" wrapText="1"/>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71" fillId="17" borderId="12"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6" borderId="0" xfId="0" applyFill="1" applyAlignment="1"/>
    <xf numFmtId="0" fontId="158" fillId="6" borderId="0" xfId="0" applyFont="1" applyFill="1" applyAlignment="1"/>
    <xf numFmtId="0" fontId="0" fillId="10" borderId="0" xfId="0" applyFill="1" applyAlignment="1"/>
    <xf numFmtId="0" fontId="147" fillId="6" borderId="0" xfId="0" applyFont="1" applyFill="1" applyAlignment="1"/>
    <xf numFmtId="0" fontId="147" fillId="10"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1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227715</xdr:colOff>
      <xdr:row>55</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7085715" cy="6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2952381"/>
        </a:xfrm>
        <a:prstGeom prst="rect">
          <a:avLst/>
        </a:prstGeom>
      </xdr:spPr>
    </xdr:pic>
    <xdr:clientData/>
  </xdr:twoCellAnchor>
  <xdr:twoCellAnchor editAs="oneCell">
    <xdr:from>
      <xdr:col>0</xdr:col>
      <xdr:colOff>0</xdr:colOff>
      <xdr:row>18</xdr:row>
      <xdr:rowOff>0</xdr:rowOff>
    </xdr:from>
    <xdr:to>
      <xdr:col>14</xdr:col>
      <xdr:colOff>160705</xdr:colOff>
      <xdr:row>43</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761905" cy="4428572"/>
        </a:xfrm>
        <a:prstGeom prst="rect">
          <a:avLst/>
        </a:prstGeom>
      </xdr:spPr>
    </xdr:pic>
    <xdr:clientData/>
  </xdr:twoCellAnchor>
  <xdr:twoCellAnchor editAs="oneCell">
    <xdr:from>
      <xdr:col>0</xdr:col>
      <xdr:colOff>0</xdr:colOff>
      <xdr:row>45</xdr:row>
      <xdr:rowOff>0</xdr:rowOff>
    </xdr:from>
    <xdr:to>
      <xdr:col>13</xdr:col>
      <xdr:colOff>217934</xdr:colOff>
      <xdr:row>61</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133334" cy="2780953"/>
        </a:xfrm>
        <a:prstGeom prst="rect">
          <a:avLst/>
        </a:prstGeom>
      </xdr:spPr>
    </xdr:pic>
    <xdr:clientData/>
  </xdr:twoCellAnchor>
  <xdr:twoCellAnchor editAs="oneCell">
    <xdr:from>
      <xdr:col>0</xdr:col>
      <xdr:colOff>0</xdr:colOff>
      <xdr:row>62</xdr:row>
      <xdr:rowOff>0</xdr:rowOff>
    </xdr:from>
    <xdr:to>
      <xdr:col>14</xdr:col>
      <xdr:colOff>36896</xdr:colOff>
      <xdr:row>71</xdr:row>
      <xdr:rowOff>28379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638096" cy="1571429"/>
        </a:xfrm>
        <a:prstGeom prst="rect">
          <a:avLst/>
        </a:prstGeom>
      </xdr:spPr>
    </xdr:pic>
    <xdr:clientData/>
  </xdr:twoCellAnchor>
  <xdr:twoCellAnchor editAs="oneCell">
    <xdr:from>
      <xdr:col>0</xdr:col>
      <xdr:colOff>0</xdr:colOff>
      <xdr:row>72</xdr:row>
      <xdr:rowOff>0</xdr:rowOff>
    </xdr:from>
    <xdr:to>
      <xdr:col>13</xdr:col>
      <xdr:colOff>398886</xdr:colOff>
      <xdr:row>90</xdr:row>
      <xdr:rowOff>47234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344400"/>
          <a:ext cx="9314286" cy="3133334"/>
        </a:xfrm>
        <a:prstGeom prst="rect">
          <a:avLst/>
        </a:prstGeom>
      </xdr:spPr>
    </xdr:pic>
    <xdr:clientData/>
  </xdr:twoCellAnchor>
  <xdr:twoCellAnchor editAs="oneCell">
    <xdr:from>
      <xdr:col>0</xdr:col>
      <xdr:colOff>0</xdr:colOff>
      <xdr:row>91</xdr:row>
      <xdr:rowOff>0</xdr:rowOff>
    </xdr:from>
    <xdr:to>
      <xdr:col>14</xdr:col>
      <xdr:colOff>160705</xdr:colOff>
      <xdr:row>122</xdr:row>
      <xdr:rowOff>94574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9761905" cy="5409524"/>
        </a:xfrm>
        <a:prstGeom prst="rect">
          <a:avLst/>
        </a:prstGeom>
      </xdr:spPr>
    </xdr:pic>
    <xdr:clientData/>
  </xdr:twoCellAnchor>
  <xdr:twoCellAnchor editAs="oneCell">
    <xdr:from>
      <xdr:col>0</xdr:col>
      <xdr:colOff>0</xdr:colOff>
      <xdr:row>123</xdr:row>
      <xdr:rowOff>0</xdr:rowOff>
    </xdr:from>
    <xdr:to>
      <xdr:col>10</xdr:col>
      <xdr:colOff>18191</xdr:colOff>
      <xdr:row>142</xdr:row>
      <xdr:rowOff>56736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088350"/>
          <a:ext cx="6876191" cy="3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北京市海淀区“海淀北部地区整体开发”翠湖科技园HD00-0303-6022地块R2二类居住用地出让国有建设用地使用权抵押价格预评估</v>
      </c>
      <c r="AX2" s="2896"/>
      <c r="AZ2" s="2896"/>
      <c r="BA2" s="2897"/>
      <c r="BC2" s="2897"/>
    </row>
    <row r="3" spans="1:55" s="2898" customFormat="1">
      <c r="A3" s="2877" t="s">
        <v>2658</v>
      </c>
      <c r="B3" s="2880" t="str">
        <f>'预评函-封皮'!B40</f>
        <v>葛洲坝（北京）发展有限公司</v>
      </c>
    </row>
    <row r="4" spans="1:55" s="2879" customFormat="1">
      <c r="A4" s="2877" t="s">
        <v>2659</v>
      </c>
      <c r="B4" s="2878" t="str">
        <f>'预评函-封皮'!B46</f>
        <v>郑燚、赵雯</v>
      </c>
      <c r="N4" s="2879" t="str">
        <f>'预评函-1'!A28</f>
        <v/>
      </c>
    </row>
    <row r="5" spans="1:55" s="2892" customFormat="1" ht="15" thickBot="1">
      <c r="A5" s="2899" t="s">
        <v>2660</v>
      </c>
      <c r="B5" s="2900" t="str">
        <f>'预评函-封皮'!B49</f>
        <v>康正预评字2018-1-0699-P01DYGJ1号</v>
      </c>
    </row>
    <row r="6" spans="1:55" s="2901" customFormat="1" ht="15" thickTop="1">
      <c r="A6" s="2893" t="s">
        <v>2702</v>
      </c>
      <c r="B6" s="2894" t="str">
        <f>'预评函-1'!A4</f>
        <v>受贵公司委托，我公司对北京市海淀区“海淀北部地区整体开发”翠湖科技园HD00-0303-6022地块R2二类居住用地出让国有建设用地使用权抵押价格进行了预评估。</v>
      </c>
      <c r="AM6" s="2902"/>
    </row>
    <row r="7" spans="1:55" s="2876" customFormat="1">
      <c r="A7" s="2877" t="s">
        <v>2654</v>
      </c>
      <c r="B7" s="2878" t="str">
        <f>'预评函-1'!A6</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2018年10月11日（评估专业人员勘察现场之日）</v>
      </c>
    </row>
    <row r="11" spans="1:55" s="2876" customFormat="1">
      <c r="A11" s="2877" t="s">
        <v>2662</v>
      </c>
      <c r="B11" s="2878" t="str">
        <f>'预评函-1'!A14</f>
        <v>根据，本次评估估价对象证载（地类）用途为住宅。</v>
      </c>
    </row>
    <row r="12" spans="1:55" s="2876" customFormat="1">
      <c r="A12" s="2877" t="s">
        <v>2663</v>
      </c>
      <c r="B12" s="2878" t="str">
        <f>'预评函-1'!A15</f>
        <v>本次评估设定用途即为证载用途住宅、仓储、车库。</v>
      </c>
    </row>
    <row r="13" spans="1:55" s="2876" customFormat="1">
      <c r="A13" s="2877" t="s">
        <v>2664</v>
      </c>
      <c r="B13" s="2878" t="str">
        <f>'预评函-1'!A17</f>
        <v>根据委托估价方介绍及评估专业人员现场勘查，本次评估估价对象实际土地开发程度为红线外市政基础设施达“三通”（即通路、通电、通上水）、宗地红线内场地平整。</v>
      </c>
    </row>
    <row r="14" spans="1:55" s="2876" customFormat="1">
      <c r="A14" s="2877" t="s">
        <v>2665</v>
      </c>
      <c r="B14" s="2878" t="str">
        <f>'预评函-1'!A18</f>
        <v>本次评估设定土地开发程度为红线外市政基础设施达“三通”、宗地红线内场地平整。</v>
      </c>
    </row>
    <row r="15" spans="1:55" s="2876" customFormat="1">
      <c r="A15" s="2877" t="s">
        <v>2661</v>
      </c>
      <c r="B15" s="2878" t="str">
        <f>'预评函-1'!A20</f>
        <v>根据《出让合同》[]，估价对象（分摊）出让国有建设用地使用权面积为70934.91平方米。根据《建设工程规划许可证》[]、《出让合同》[]，估价对象规划建筑面积为229492.14平方米。</v>
      </c>
    </row>
    <row r="16" spans="1:55" s="2876" customFormat="1">
      <c r="A16" s="2877" t="s">
        <v>2666</v>
      </c>
      <c r="B16" s="2878" t="str">
        <f>'预评函-1'!A22</f>
        <v>本次估价对象为出让国有建设用地使用权，证载土地终止日期为住宅2088年2月25日车库2068年2月25日、仓储2068年2月25日。截至估价期日，出让国有建设用地使用权剩余土地使用年限为。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估价期日：2018年10月11日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住宅</v>
      </c>
      <c r="AV32" s="2882"/>
    </row>
    <row r="33" spans="1:2">
      <c r="A33" s="2877" t="s">
        <v>2710</v>
      </c>
      <c r="B33" s="2878">
        <f>'预评函-2'!F5</f>
        <v>258</v>
      </c>
    </row>
    <row r="34" spans="1:2">
      <c r="A34" s="2877" t="s">
        <v>2711</v>
      </c>
      <c r="B34" s="2878" t="str">
        <f>'预评函-2'!G5</f>
        <v>住宅、仓储、车库</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红线外三通、宗地红线内场地平整</v>
      </c>
    </row>
    <row r="39" spans="1:2">
      <c r="A39" s="2877" t="s">
        <v>2716</v>
      </c>
      <c r="B39" s="2878" t="str">
        <f>'预评函-2'!L5</f>
        <v>红线外三通、宗地红线内场地平整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70934.91</v>
      </c>
    </row>
    <row r="44" spans="1:2">
      <c r="A44" s="2877" t="s">
        <v>2737</v>
      </c>
      <c r="B44" s="2878" t="str">
        <f>'预评函-2'!O3</f>
        <v>规划建筑面积/㎡</v>
      </c>
    </row>
    <row r="45" spans="1:2">
      <c r="A45" s="2877" t="s">
        <v>2719</v>
      </c>
      <c r="B45" s="2878">
        <f>'预评函-2'!O5</f>
        <v>229492.13999999998</v>
      </c>
    </row>
    <row r="46" spans="1:2">
      <c r="A46" s="2877" t="s">
        <v>2720</v>
      </c>
      <c r="B46" s="2878">
        <f ca="1">'预评函-2'!P5</f>
        <v>77887</v>
      </c>
    </row>
    <row r="47" spans="1:2">
      <c r="A47" s="2877" t="s">
        <v>2721</v>
      </c>
      <c r="B47" s="2878">
        <f ca="1">'预评函-2'!Q5</f>
        <v>24075</v>
      </c>
    </row>
    <row r="48" spans="1:2">
      <c r="A48" s="2877" t="s">
        <v>2722</v>
      </c>
      <c r="B48" s="2878">
        <f ca="1">'预评函-2'!R5</f>
        <v>552493</v>
      </c>
    </row>
    <row r="49" spans="1:2">
      <c r="A49" s="2877" t="s">
        <v>2738</v>
      </c>
      <c r="B49" s="2878" t="str">
        <f>'预评函-2'!A6</f>
        <v>抵押价格</v>
      </c>
    </row>
    <row r="50" spans="1:2">
      <c r="A50" s="2877" t="s">
        <v>2723</v>
      </c>
      <c r="B50" s="2878">
        <f ca="1">'预评函-2'!R6</f>
        <v>552493</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1.权利限制：根据估价对象、，截至估价期日，估价对象抵押权未见登记。未设定租赁等其他他项权利。</v>
      </c>
    </row>
    <row r="56" spans="1:2">
      <c r="A56" s="2877" t="s">
        <v>2676</v>
      </c>
      <c r="B56" s="2878" t="str">
        <f>'预评函-3'!A3</f>
        <v>2.基础设施条件：估价对象实际开发程度为红线外三通、宗地红线内场地平整；本次评估设定开发程度为红线外三通、宗地红线内场地平整。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郑燚</v>
      </c>
    </row>
    <row r="70" spans="1:2">
      <c r="A70" s="2877" t="s">
        <v>2687</v>
      </c>
      <c r="B70" s="2884">
        <f>'预评函-3'!B20</f>
        <v>2014110011</v>
      </c>
    </row>
    <row r="71" spans="1:2">
      <c r="A71" s="2877" t="s">
        <v>2688</v>
      </c>
      <c r="B71" s="2878" t="str">
        <f>'预评函-3'!A21</f>
        <v>赵雯</v>
      </c>
    </row>
    <row r="72" spans="1:2" s="2892" customFormat="1" ht="15" thickBot="1">
      <c r="A72" s="2899" t="s">
        <v>2688</v>
      </c>
      <c r="B72" s="2905">
        <f ca="1">'预评函-3'!B21</f>
        <v>2011110090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由于本次评估估价目的是评估储备国有建设用地使用权的“抵押价格”，因此本次评估设定土地开发程度为红线外市政基础设施达“三通”、宗地红线内场地平整。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89" customWidth="1"/>
    <col min="2" max="2" width="11.375" style="1689" customWidth="1"/>
    <col min="3" max="3" width="12.625" style="1689" customWidth="1"/>
    <col min="4"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4" t="str">
        <f>IF(B10="北京市","北京市",C10)&amp;F10&amp;B16&amp;"国有建设用地使用权"&amp;B9&amp;"预评估"</f>
        <v>北京市海淀区“海淀北部地区整体开发”翠湖科技园HD00-0303-6022地块R2二类居住用地出让国有建设用地使用权抵押价格预评估</v>
      </c>
      <c r="C1" s="3235"/>
      <c r="D1" s="3235"/>
      <c r="E1" s="3235"/>
      <c r="F1" s="3235"/>
      <c r="G1" s="3235"/>
      <c r="H1" s="3235"/>
      <c r="I1" s="3236"/>
      <c r="J1" s="1692"/>
      <c r="K1" s="2454" t="str">
        <f>IF(B10="北京市","北京市",C10)&amp;F10&amp;B16&amp;"国有建设用地使用权"&amp;B9</f>
        <v>北京市海淀区“海淀北部地区整体开发”翠湖科技园HD00-0303-6022地块R2二类居住用地出让国有建设用地使用权抵押价格</v>
      </c>
      <c r="L1" s="1721"/>
      <c r="M1" s="1721"/>
      <c r="N1" s="1692"/>
      <c r="O1" s="1693"/>
      <c r="P1" s="1692"/>
      <c r="Q1" s="1692"/>
      <c r="R1" s="1692"/>
      <c r="S1" s="1692"/>
      <c r="T1" s="1692"/>
      <c r="U1" s="1692"/>
    </row>
    <row r="2" spans="1:21">
      <c r="A2" s="1658" t="s">
        <v>1941</v>
      </c>
      <c r="B2" s="1840" t="s">
        <v>3164</v>
      </c>
      <c r="D2" s="1692"/>
      <c r="E2" s="1692"/>
      <c r="F2" s="1692"/>
      <c r="G2" s="1692"/>
      <c r="H2" s="1658"/>
      <c r="I2" s="1693"/>
      <c r="J2" s="1692"/>
      <c r="K2" s="2454" t="str">
        <f>IF(B10="北京市","北京市",C10)&amp;F10&amp;B16&amp;"国有建设用地使用权"</f>
        <v>北京市海淀区“海淀北部地区整体开发”翠湖科技园HD00-0303-6022地块R2二类居住用地出让国有建设用地使用权</v>
      </c>
      <c r="L2" s="1721"/>
      <c r="M2" s="1721"/>
      <c r="N2" s="1692"/>
      <c r="O2" s="1693"/>
      <c r="P2" s="1692"/>
      <c r="Q2" s="1692"/>
      <c r="R2" s="1692"/>
      <c r="S2" s="1692"/>
      <c r="T2" s="1692"/>
      <c r="U2" s="1692"/>
    </row>
    <row r="3" spans="1:21">
      <c r="A3" s="1659" t="s">
        <v>1942</v>
      </c>
      <c r="B3" s="1660">
        <v>43384</v>
      </c>
      <c r="C3" s="1661" t="s">
        <v>1996</v>
      </c>
      <c r="D3" s="1660">
        <f>B3</f>
        <v>43384</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3005</v>
      </c>
      <c r="C4" s="1844">
        <f>SUMIF(土地估价师,B4,估价师及机构信息!E3:E24)</f>
        <v>2014110011</v>
      </c>
      <c r="D4" s="1841" t="s">
        <v>3006</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郑燚、赵雯</v>
      </c>
      <c r="L4" s="1721"/>
      <c r="M4" s="1721"/>
      <c r="N4" s="1692"/>
      <c r="O4" s="1693"/>
      <c r="P4" s="1692"/>
      <c r="Q4" s="1692"/>
      <c r="R4" s="1692"/>
      <c r="S4" s="1692"/>
      <c r="T4" s="1692"/>
      <c r="U4" s="1692"/>
    </row>
    <row r="5" spans="1:21" ht="15" thickTop="1">
      <c r="A5" s="1663" t="s">
        <v>1944</v>
      </c>
      <c r="B5" s="1787" t="s">
        <v>3165</v>
      </c>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t="s">
        <v>3166</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2704</v>
      </c>
      <c r="B7" s="1787" t="str">
        <f>B5</f>
        <v>葛洲坝（北京）发展有限公司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3007</v>
      </c>
      <c r="C8" s="1669"/>
      <c r="D8" s="3240" t="s">
        <v>1947</v>
      </c>
      <c r="E8" s="1842" t="s">
        <v>3008</v>
      </c>
      <c r="F8" s="1670"/>
      <c r="G8" s="1658"/>
      <c r="H8" s="1658"/>
      <c r="I8" s="1705"/>
      <c r="J8" s="1692"/>
      <c r="K8" s="1772"/>
      <c r="L8" s="1721"/>
      <c r="M8" s="1721"/>
      <c r="N8" s="1692"/>
      <c r="O8" s="1693"/>
      <c r="P8" s="1692"/>
      <c r="Q8" s="1692"/>
      <c r="R8" s="1692"/>
      <c r="S8" s="1692"/>
      <c r="T8" s="1692"/>
      <c r="U8" s="1692"/>
    </row>
    <row r="9" spans="1:21" ht="15" thickBot="1">
      <c r="A9" s="1671" t="s">
        <v>1946</v>
      </c>
      <c r="B9" s="1672" t="s">
        <v>3008</v>
      </c>
      <c r="C9" s="1673"/>
      <c r="D9" s="3241"/>
      <c r="E9" s="1672" t="s">
        <v>952</v>
      </c>
      <c r="F9" s="1745"/>
      <c r="G9" s="1740"/>
      <c r="H9" s="1740"/>
      <c r="I9" s="1741"/>
      <c r="J9" s="1692"/>
      <c r="K9" s="1772"/>
      <c r="L9" s="1721"/>
      <c r="M9" s="1721"/>
      <c r="N9" s="1692"/>
      <c r="O9" s="1693"/>
      <c r="P9" s="1692"/>
      <c r="Q9" s="1692"/>
      <c r="R9" s="1692"/>
      <c r="S9" s="1692"/>
      <c r="T9" s="1692"/>
      <c r="U9" s="1692"/>
    </row>
    <row r="10" spans="1:21" ht="15" thickTop="1">
      <c r="A10" s="1742" t="s">
        <v>1999</v>
      </c>
      <c r="B10" s="1717" t="s">
        <v>1948</v>
      </c>
      <c r="C10" s="1674"/>
      <c r="D10" s="1665"/>
      <c r="E10" s="1675" t="s">
        <v>1949</v>
      </c>
      <c r="F10" s="1676" t="s">
        <v>3217</v>
      </c>
      <c r="G10" s="1743"/>
      <c r="H10" s="1744"/>
      <c r="I10" s="1665"/>
      <c r="J10" s="1692"/>
      <c r="K10" s="1772"/>
      <c r="L10" s="1721"/>
      <c r="M10" s="1721"/>
      <c r="N10" s="1692"/>
      <c r="O10" s="1693"/>
      <c r="P10" s="1692"/>
      <c r="Q10" s="1692"/>
      <c r="R10" s="1692"/>
      <c r="S10" s="1692"/>
      <c r="T10" s="1692"/>
      <c r="U10" s="1692"/>
    </row>
    <row r="11" spans="1:21">
      <c r="A11" s="1695" t="s">
        <v>2000</v>
      </c>
      <c r="B11" s="1696" t="s">
        <v>3009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37" t="s">
        <v>3010</v>
      </c>
      <c r="C12" s="3238"/>
      <c r="D12" s="3239"/>
      <c r="E12" s="1697" t="s">
        <v>2061</v>
      </c>
      <c r="F12" s="3255"/>
      <c r="G12" s="3256"/>
      <c r="H12" s="3256"/>
      <c r="I12" s="3257"/>
      <c r="J12" s="1692"/>
      <c r="K12" s="1772"/>
      <c r="L12" s="1721"/>
      <c r="M12" s="1721"/>
      <c r="N12" s="1692"/>
      <c r="O12" s="1693"/>
      <c r="P12" s="1692"/>
      <c r="Q12" s="1692"/>
      <c r="R12" s="1692"/>
      <c r="S12" s="1692"/>
      <c r="T12" s="1692"/>
      <c r="U12" s="1692"/>
    </row>
    <row r="13" spans="1:21">
      <c r="A13" s="1685" t="s">
        <v>2059</v>
      </c>
      <c r="B13" s="3237" t="s">
        <v>3011</v>
      </c>
      <c r="C13" s="3238"/>
      <c r="D13" s="3239"/>
      <c r="E13" s="1697" t="s">
        <v>2061</v>
      </c>
      <c r="F13" s="3255" t="s">
        <v>3218</v>
      </c>
      <c r="G13" s="3256"/>
      <c r="H13" s="3256"/>
      <c r="I13" s="3257"/>
      <c r="J13" s="1692"/>
      <c r="K13" s="1772"/>
      <c r="L13" s="1721"/>
      <c r="M13" s="1721"/>
      <c r="N13" s="1692"/>
      <c r="O13" s="1693"/>
      <c r="P13" s="1692"/>
      <c r="Q13" s="1692"/>
      <c r="R13" s="1692"/>
      <c r="S13" s="1692"/>
      <c r="T13" s="1692"/>
      <c r="U13" s="1692"/>
    </row>
    <row r="14" spans="1:21">
      <c r="A14" s="1659" t="s">
        <v>2062</v>
      </c>
      <c r="B14" s="1697"/>
      <c r="C14" s="1843" t="s">
        <v>3012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3013</v>
      </c>
      <c r="C16" s="1697" t="s">
        <v>1951</v>
      </c>
      <c r="D16" s="2645" t="s">
        <v>1952</v>
      </c>
      <c r="E16" s="1720"/>
      <c r="F16" s="1720"/>
      <c r="G16" s="1720" t="s">
        <v>2981</v>
      </c>
      <c r="H16" s="1720" t="s">
        <v>2976</v>
      </c>
      <c r="I16" s="1684" t="s">
        <v>1957</v>
      </c>
      <c r="J16" s="1692"/>
      <c r="K16" s="2455" t="str">
        <f>IF(D17="","",D16&amp;TEXT(D17,"yyyy年m月d日;;"))</f>
        <v>住宅2088年2月25日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车库2068年2月25日</v>
      </c>
      <c r="R16" s="1697" t="str">
        <f>IF(OR(Q16="",S16=""),"","、")</f>
        <v>、</v>
      </c>
      <c r="S16" s="2455" t="str">
        <f>IF(H17="","",H16&amp;TEXT(H17,"yyyy年m月d日;;"))</f>
        <v>仓储2068年2月25日</v>
      </c>
      <c r="T16" s="1697" t="str">
        <f>IF(OR(S16="",U16=""),"","、")</f>
        <v/>
      </c>
      <c r="U16" s="2455" t="str">
        <f>IF(I17="","",I16&amp;TEXT(I17,"yyyy年m月d日;;"))</f>
        <v/>
      </c>
    </row>
    <row r="17" spans="1:21">
      <c r="A17" s="1761"/>
      <c r="B17" s="1680"/>
      <c r="C17" s="1681" t="s">
        <v>1958</v>
      </c>
      <c r="D17" s="1698">
        <v>68723</v>
      </c>
      <c r="E17" s="1698"/>
      <c r="F17" s="1698"/>
      <c r="G17" s="1698">
        <v>61418</v>
      </c>
      <c r="H17" s="1698">
        <v>61418</v>
      </c>
      <c r="I17" s="1698"/>
      <c r="J17" s="1692"/>
      <c r="K17" s="2454" t="str">
        <f>CONCATENATE(K16,L16,M16,N16,O16,P16,Q16,R16,S16,T16,,U16)</f>
        <v>住宅2088年2月25日车库2068年2月25日、仓储2068年2月25日</v>
      </c>
      <c r="L17" s="1721"/>
      <c r="M17" s="1721"/>
      <c r="N17" s="1692"/>
      <c r="O17" s="1693"/>
      <c r="P17" s="1692"/>
      <c r="Q17" s="1692"/>
      <c r="R17" s="1692"/>
      <c r="S17" s="1692"/>
      <c r="T17" s="1692"/>
      <c r="U17" s="1692"/>
    </row>
    <row r="18" spans="1:21">
      <c r="A18" s="1761"/>
      <c r="B18" s="1680"/>
      <c r="C18" s="1681" t="s">
        <v>1959</v>
      </c>
      <c r="D18" s="1682">
        <v>70</v>
      </c>
      <c r="E18" s="1682"/>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69.42</v>
      </c>
      <c r="E19" s="1683" t="str">
        <f>IF(B16="出让",IF(E17="","",ROUNDDOWN(MIN((E17-$D$3)/365,E18),2)),E18)</f>
        <v/>
      </c>
      <c r="F19" s="1683" t="str">
        <f>IF(B16="出让",IF(F17="","",ROUNDDOWN(MIN((F17-$D$3)/365,F18),2)),F18)</f>
        <v/>
      </c>
      <c r="G19" s="1683">
        <f>IF(B16="出让",IF(G17="","",ROUNDDOWN(MIN((G17-$D$3)/365,G18),2)),G18)</f>
        <v>49.4</v>
      </c>
      <c r="H19" s="1683">
        <f>IF(B16="出让",IF(H17="","",ROUNDDOWN(MIN((H17-$D$3)/365,H18),2)),H18)</f>
        <v>49.4</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52"/>
      <c r="E20" s="3253"/>
      <c r="F20" s="3253"/>
      <c r="G20" s="3253"/>
      <c r="H20" s="3253"/>
      <c r="I20" s="3254"/>
      <c r="J20" s="1692"/>
      <c r="K20" s="1772"/>
      <c r="L20" s="1721"/>
      <c r="M20" s="1721"/>
      <c r="N20" s="1692"/>
      <c r="O20" s="1693"/>
      <c r="P20" s="1692"/>
      <c r="Q20" s="1692"/>
      <c r="R20" s="1692"/>
      <c r="S20" s="1692"/>
      <c r="T20" s="1692"/>
      <c r="U20" s="1692"/>
    </row>
    <row r="21" spans="1:21">
      <c r="A21" s="1761" t="s">
        <v>1961</v>
      </c>
      <c r="B21" s="1762" t="s">
        <v>1962</v>
      </c>
      <c r="C21" s="1757">
        <f>'数据-汇总表'!E3</f>
        <v>229492.13999999998</v>
      </c>
      <c r="D21" s="1758" t="s">
        <v>1963</v>
      </c>
      <c r="E21" s="3242" t="s">
        <v>3014</v>
      </c>
      <c r="F21" s="3243"/>
      <c r="G21" s="3243"/>
      <c r="H21" s="3243"/>
      <c r="I21" s="3244"/>
      <c r="J21" s="1692"/>
      <c r="K21" s="1772"/>
      <c r="L21" s="1721"/>
      <c r="M21" s="1721"/>
      <c r="N21" s="1692"/>
      <c r="O21" s="1693"/>
      <c r="P21" s="1692"/>
      <c r="Q21" s="1692"/>
      <c r="R21" s="1692"/>
      <c r="S21" s="1692"/>
      <c r="T21" s="1692"/>
      <c r="U21" s="1692"/>
    </row>
    <row r="22" spans="1:21">
      <c r="A22" s="3144" t="s">
        <v>952</v>
      </c>
      <c r="B22" s="1659" t="s">
        <v>1964</v>
      </c>
      <c r="C22" s="1684">
        <f>'数据-汇总表'!D3</f>
        <v>70934.91</v>
      </c>
      <c r="D22" s="1685" t="s">
        <v>1963</v>
      </c>
      <c r="E22" s="3242" t="s">
        <v>3015</v>
      </c>
      <c r="F22" s="3243"/>
      <c r="G22" s="3243"/>
      <c r="H22" s="3243"/>
      <c r="I22" s="3244"/>
      <c r="J22" s="1692"/>
      <c r="K22" s="1772"/>
      <c r="L22" s="1721"/>
      <c r="M22" s="1721"/>
      <c r="N22" s="1692"/>
      <c r="O22" s="1693"/>
      <c r="P22" s="1692"/>
      <c r="Q22" s="1692"/>
      <c r="R22" s="1692"/>
      <c r="S22" s="1692"/>
      <c r="T22" s="1692"/>
      <c r="U22" s="1692"/>
    </row>
    <row r="23" spans="1:21" ht="43.5" thickBot="1">
      <c r="A23" s="1763" t="s">
        <v>1965</v>
      </c>
      <c r="B23" s="1699" t="s">
        <v>1966</v>
      </c>
      <c r="C23" s="1700" t="s">
        <v>3016</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45" t="s">
        <v>1969</v>
      </c>
      <c r="C24" s="3246"/>
      <c r="D24" s="3247" t="s">
        <v>1970</v>
      </c>
      <c r="E24" s="3248"/>
      <c r="F24" s="1706" t="s">
        <v>1971</v>
      </c>
      <c r="G24" s="1692"/>
      <c r="H24" s="1692"/>
      <c r="I24" s="1705"/>
      <c r="J24" s="1692"/>
      <c r="K24" s="3233" t="s">
        <v>1972</v>
      </c>
      <c r="L24" s="2456" t="str">
        <f>"根据估价对象"&amp;IF(B26="——",B25&amp;C25,B25&amp;C25&amp;"、"&amp;B26&amp;C26)&amp;"，"&amp;IF(C23="是","截至估价期日，估价对象已设定抵押。","截至估价期日，估价对象抵押权未见登记。")</f>
        <v>根据估价对象、，截至估价期日，估价对象抵押权未见登记。</v>
      </c>
      <c r="M24" s="1721"/>
      <c r="N24" s="1692"/>
      <c r="O24" s="1693"/>
      <c r="P24" s="1692"/>
      <c r="Q24" s="1692"/>
      <c r="R24" s="1692"/>
      <c r="S24" s="1692"/>
      <c r="T24" s="1692"/>
      <c r="U24" s="1692"/>
    </row>
    <row r="25" spans="1:21">
      <c r="A25" s="1749"/>
      <c r="B25" s="1746"/>
      <c r="C25" s="1707"/>
      <c r="D25" s="1708"/>
      <c r="E25" s="1709" t="s">
        <v>952</v>
      </c>
      <c r="F25" s="1710"/>
      <c r="G25" s="1692"/>
      <c r="H25" s="1692"/>
      <c r="I25" s="1705"/>
      <c r="J25" s="1692"/>
      <c r="K25" s="323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3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9" t="s">
        <v>2001</v>
      </c>
      <c r="B31" s="1762" t="s">
        <v>2002</v>
      </c>
      <c r="C31" s="3258" t="s">
        <v>3017</v>
      </c>
      <c r="D31" s="3259"/>
      <c r="E31" s="1692"/>
      <c r="F31" s="1692"/>
      <c r="G31" s="1692"/>
      <c r="H31" s="1692"/>
      <c r="I31" s="1705"/>
      <c r="J31" s="1692"/>
      <c r="K31" s="2457"/>
      <c r="L31" s="1692"/>
      <c r="M31" s="1692"/>
      <c r="N31" s="1692"/>
      <c r="O31" s="1692"/>
      <c r="P31" s="1692"/>
      <c r="Q31" s="1692"/>
      <c r="R31" s="1692"/>
      <c r="S31" s="1692"/>
      <c r="T31" s="1692"/>
      <c r="U31" s="1692"/>
    </row>
    <row r="32" spans="1:21">
      <c r="A32" s="3219"/>
      <c r="B32" s="1659" t="s">
        <v>2003</v>
      </c>
      <c r="C32" s="1717" t="s">
        <v>3018</v>
      </c>
      <c r="D32" s="1718"/>
      <c r="E32" s="1692"/>
      <c r="F32" s="1692"/>
      <c r="G32" s="1692"/>
      <c r="H32" s="1692"/>
      <c r="I32" s="1705"/>
      <c r="J32" s="1692"/>
      <c r="K32" s="2457"/>
      <c r="L32" s="1692"/>
      <c r="M32" s="1692"/>
      <c r="N32" s="1692"/>
      <c r="O32" s="1692"/>
      <c r="P32" s="1692"/>
      <c r="Q32" s="1692"/>
      <c r="R32" s="1692"/>
      <c r="S32" s="1692"/>
      <c r="T32" s="1692"/>
      <c r="U32" s="1692"/>
    </row>
    <row r="33" spans="1:21">
      <c r="A33" s="3219"/>
      <c r="B33" s="1659" t="s">
        <v>2004</v>
      </c>
      <c r="C33" s="1719" t="s">
        <v>3016</v>
      </c>
      <c r="D33" s="1836"/>
      <c r="E33" s="1692"/>
      <c r="F33" s="1692"/>
      <c r="G33" s="1692"/>
      <c r="H33" s="1692"/>
      <c r="I33" s="1705"/>
      <c r="J33" s="1692"/>
      <c r="K33" s="2457"/>
      <c r="L33" s="1692"/>
      <c r="M33" s="1692"/>
      <c r="N33" s="1692"/>
      <c r="O33" s="1692"/>
      <c r="P33" s="1692"/>
      <c r="Q33" s="1692"/>
      <c r="R33" s="1692"/>
      <c r="S33" s="1692"/>
      <c r="T33" s="1692"/>
      <c r="U33" s="1692"/>
    </row>
    <row r="34" spans="1:21">
      <c r="A34" s="3220"/>
      <c r="B34" s="1659" t="s">
        <v>2005</v>
      </c>
      <c r="C34" s="3221"/>
      <c r="D34" s="3222"/>
      <c r="E34" s="1692"/>
      <c r="F34" s="1692"/>
      <c r="G34" s="1692"/>
      <c r="H34" s="1692"/>
      <c r="I34" s="1705"/>
      <c r="J34" s="1692"/>
      <c r="K34" s="2457"/>
      <c r="L34" s="1692"/>
      <c r="M34" s="1692"/>
      <c r="N34" s="1692"/>
      <c r="O34" s="1692"/>
      <c r="P34" s="1692"/>
      <c r="Q34" s="1692"/>
      <c r="R34" s="1692"/>
      <c r="S34" s="1692"/>
      <c r="T34" s="1692"/>
      <c r="U34" s="1692"/>
    </row>
    <row r="35" spans="1:21">
      <c r="A35" s="3223" t="s">
        <v>847</v>
      </c>
      <c r="B35" s="1720" t="s">
        <v>3019</v>
      </c>
      <c r="C35" s="1774" t="str">
        <f>IF(B35="场地平整","——","具体情况：")</f>
        <v>——</v>
      </c>
      <c r="D35" s="3225"/>
      <c r="E35" s="3226"/>
      <c r="F35" s="3226"/>
      <c r="G35" s="3226"/>
      <c r="H35" s="3226"/>
      <c r="I35" s="3227"/>
      <c r="J35" s="1692"/>
      <c r="K35" s="1773"/>
      <c r="L35" s="1721"/>
      <c r="M35" s="1721"/>
      <c r="N35" s="1692"/>
      <c r="O35" s="1693"/>
      <c r="P35" s="1692"/>
      <c r="Q35" s="1692"/>
      <c r="R35" s="1692"/>
      <c r="S35" s="1692"/>
      <c r="T35" s="1692"/>
      <c r="U35" s="1692"/>
    </row>
    <row r="36" spans="1:21">
      <c r="A36" s="3219"/>
      <c r="B36" s="3228" t="s">
        <v>2054</v>
      </c>
      <c r="C36" s="3229"/>
      <c r="D36" s="1790" t="s">
        <v>3020</v>
      </c>
      <c r="E36" s="3230"/>
      <c r="F36" s="3230"/>
      <c r="G36" s="1685" t="str">
        <f>IF(B35="场地未平整","估价结果处理","")</f>
        <v/>
      </c>
      <c r="H36" s="3231"/>
      <c r="I36" s="3231"/>
      <c r="J36" s="1692"/>
      <c r="K36" s="1773"/>
      <c r="L36" s="1721"/>
      <c r="M36" s="1721"/>
      <c r="N36" s="1692"/>
      <c r="O36" s="1693"/>
      <c r="P36" s="1692"/>
      <c r="Q36" s="1692"/>
      <c r="R36" s="1692"/>
      <c r="S36" s="1692"/>
      <c r="T36" s="1692"/>
      <c r="U36" s="1692"/>
    </row>
    <row r="37" spans="1:21" ht="28.5">
      <c r="A37" s="3219"/>
      <c r="B37" s="3249" t="s">
        <v>848</v>
      </c>
      <c r="C37" s="1722" t="s">
        <v>849</v>
      </c>
      <c r="D37" s="1723">
        <v>43405</v>
      </c>
      <c r="E37" s="1724"/>
      <c r="F37" s="1692"/>
      <c r="G37" s="1692"/>
      <c r="H37" s="1692"/>
      <c r="I37" s="1705"/>
      <c r="J37" s="1692"/>
      <c r="K37" s="1773"/>
      <c r="L37" s="1692"/>
      <c r="M37" s="1692"/>
      <c r="N37" s="1692"/>
      <c r="O37" s="1692"/>
      <c r="P37" s="1692"/>
      <c r="Q37" s="1692"/>
      <c r="R37" s="1692"/>
      <c r="S37" s="1692"/>
      <c r="T37" s="1692"/>
      <c r="U37" s="1692"/>
    </row>
    <row r="38" spans="1:21">
      <c r="A38" s="3219"/>
      <c r="B38" s="3250"/>
      <c r="C38" s="1667" t="s">
        <v>850</v>
      </c>
      <c r="D38" s="1789">
        <f>ROUNDDOWN(MIN(('数据-取费表'!$B$2-D37)/365,D34),1)</f>
        <v>0</v>
      </c>
      <c r="E38" s="1725" t="s">
        <v>851</v>
      </c>
      <c r="F38" s="1692"/>
      <c r="G38" s="1692"/>
      <c r="H38" s="1692"/>
      <c r="I38" s="1705"/>
      <c r="J38" s="1692"/>
      <c r="K38" s="1773"/>
      <c r="L38" s="1692"/>
      <c r="M38" s="1692"/>
      <c r="N38" s="1692"/>
      <c r="O38" s="1692"/>
      <c r="P38" s="1692"/>
      <c r="Q38" s="1692"/>
      <c r="R38" s="1692"/>
      <c r="S38" s="1692"/>
      <c r="T38" s="1692"/>
      <c r="U38" s="1692"/>
    </row>
    <row r="39" spans="1:21">
      <c r="A39" s="3220"/>
      <c r="B39" s="3251"/>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3021</v>
      </c>
      <c r="C40" s="1688" t="s">
        <v>3022</v>
      </c>
      <c r="D40" s="1688" t="s">
        <v>3023</v>
      </c>
      <c r="E40" s="1688" t="s">
        <v>952</v>
      </c>
      <c r="F40" s="1688" t="s">
        <v>952</v>
      </c>
      <c r="G40" s="1688" t="s">
        <v>952</v>
      </c>
      <c r="H40" s="1688" t="s">
        <v>952</v>
      </c>
      <c r="I40" s="1705"/>
      <c r="J40" s="1692"/>
      <c r="K40" s="1728">
        <f>COUNTIF(B40:H40,"——")</f>
        <v>4</v>
      </c>
      <c r="L40" s="1697" t="s">
        <v>1979</v>
      </c>
      <c r="M40" s="1694" t="s">
        <v>1980</v>
      </c>
      <c r="N40" s="1694" t="s">
        <v>1981</v>
      </c>
      <c r="O40" s="1694" t="s">
        <v>1982</v>
      </c>
      <c r="P40" s="1694" t="s">
        <v>1983</v>
      </c>
      <c r="Q40" s="1694" t="s">
        <v>1984</v>
      </c>
      <c r="R40" s="1694" t="s">
        <v>1985</v>
      </c>
      <c r="S40" s="3232" t="s">
        <v>1986</v>
      </c>
      <c r="T40" s="1729" t="str">
        <f>NUMBERSTRING(7-K40,1)&amp;"通"</f>
        <v>三通</v>
      </c>
      <c r="U40" s="1692"/>
    </row>
    <row r="41" spans="1:21">
      <c r="A41" s="1661"/>
      <c r="B41" s="3224" t="s">
        <v>1722</v>
      </c>
      <c r="C41" s="3224"/>
      <c r="D41" s="3224"/>
      <c r="E41" s="322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32"/>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t="s">
        <v>1410</v>
      </c>
      <c r="E43" s="1736"/>
      <c r="F43" s="1737"/>
      <c r="G43" s="1692"/>
      <c r="H43" s="1692"/>
      <c r="I43" s="1705"/>
      <c r="J43" s="1692"/>
      <c r="K43" s="1772"/>
      <c r="L43" s="1721"/>
      <c r="M43" s="1721"/>
      <c r="N43" s="1692"/>
      <c r="O43" s="1693"/>
      <c r="P43" s="1692"/>
      <c r="Q43" s="1692"/>
      <c r="R43" s="1692"/>
      <c r="S43" s="1692"/>
      <c r="T43" s="1692"/>
      <c r="U43" s="1692"/>
    </row>
    <row r="44" spans="1:21" ht="28.5">
      <c r="A44" s="1735" t="s">
        <v>1708</v>
      </c>
      <c r="B44" s="1736"/>
      <c r="C44" s="1736"/>
      <c r="D44" s="3175" t="s">
        <v>3024</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27" sqref="AF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2331</v>
      </c>
      <c r="BA2" s="2360"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74772.84</v>
      </c>
      <c r="B3" s="22">
        <f>IF(C3="否",G5-AT5,G5)</f>
        <v>241908.81</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241908.81</v>
      </c>
      <c r="H5" s="27">
        <f t="shared" ref="H5:AT5" si="0">SUM(H13:H641)</f>
        <v>221471.00999999998</v>
      </c>
      <c r="I5" s="27">
        <f t="shared" si="0"/>
        <v>132334.82</v>
      </c>
      <c r="J5" s="27">
        <f t="shared" si="0"/>
        <v>0</v>
      </c>
      <c r="K5" s="27">
        <f t="shared" si="0"/>
        <v>40836.03</v>
      </c>
      <c r="L5" s="27">
        <f t="shared" si="0"/>
        <v>0</v>
      </c>
      <c r="M5" s="27">
        <f t="shared" si="0"/>
        <v>48300.160000000003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8021.1299999999992</v>
      </c>
      <c r="AD5" s="27">
        <f t="shared" si="0"/>
        <v>2951.7799999999997</v>
      </c>
      <c r="AE5" s="27">
        <f t="shared" si="0"/>
        <v>0</v>
      </c>
      <c r="AF5" s="27">
        <f t="shared" si="0"/>
        <v>0</v>
      </c>
      <c r="AG5" s="27">
        <f t="shared" si="0"/>
        <v>0</v>
      </c>
      <c r="AH5" s="27">
        <f t="shared" si="0"/>
        <v>153.19999999999999</v>
      </c>
      <c r="AI5" s="27">
        <f t="shared" si="0"/>
        <v>0</v>
      </c>
      <c r="AJ5" s="27">
        <f t="shared" si="0"/>
        <v>0</v>
      </c>
      <c r="AK5" s="27">
        <f t="shared" si="0"/>
        <v>0</v>
      </c>
      <c r="AL5" s="27">
        <f t="shared" si="0"/>
        <v>0</v>
      </c>
      <c r="AM5" s="27">
        <f t="shared" si="0"/>
        <v>0</v>
      </c>
      <c r="AN5" s="27">
        <f t="shared" si="0"/>
        <v>4916.1499999999996</v>
      </c>
      <c r="AO5" s="27">
        <f t="shared" si="0"/>
        <v>0</v>
      </c>
      <c r="AP5" s="27">
        <f t="shared" si="0"/>
        <v>0</v>
      </c>
      <c r="AQ5" s="27">
        <f t="shared" si="0"/>
        <v>0</v>
      </c>
      <c r="AR5" s="27">
        <f t="shared" si="0"/>
        <v>0</v>
      </c>
      <c r="AS5" s="27">
        <f t="shared" si="0"/>
        <v>0</v>
      </c>
      <c r="AT5" s="27">
        <f t="shared" si="0"/>
        <v>12416.67</v>
      </c>
      <c r="AU5" s="986"/>
      <c r="AV5" s="26" t="s">
        <v>168</v>
      </c>
      <c r="AW5" s="987"/>
      <c r="AX5" s="987"/>
      <c r="AY5" s="28" t="s">
        <v>3</v>
      </c>
      <c r="AZ5" s="29">
        <f t="shared" ref="AZ5:BT5" si="1">SUM(AZ13:AZ641)</f>
        <v>229492.13999999998</v>
      </c>
      <c r="BA5" s="29">
        <f t="shared" si="1"/>
        <v>221471.00999999998</v>
      </c>
      <c r="BB5" s="29">
        <f t="shared" si="1"/>
        <v>132334.82</v>
      </c>
      <c r="BC5" s="29">
        <f t="shared" si="1"/>
        <v>40836.03</v>
      </c>
      <c r="BD5" s="29">
        <f t="shared" si="1"/>
        <v>48300.160000000003</v>
      </c>
      <c r="BE5" s="29">
        <f t="shared" si="1"/>
        <v>0</v>
      </c>
      <c r="BF5" s="29">
        <f t="shared" si="1"/>
        <v>0</v>
      </c>
      <c r="BG5" s="29">
        <f t="shared" si="1"/>
        <v>0</v>
      </c>
      <c r="BH5" s="29">
        <f t="shared" si="1"/>
        <v>0</v>
      </c>
      <c r="BI5" s="29">
        <f t="shared" si="1"/>
        <v>0</v>
      </c>
      <c r="BJ5" s="29">
        <f t="shared" si="1"/>
        <v>0</v>
      </c>
      <c r="BK5" s="29">
        <f t="shared" si="1"/>
        <v>0</v>
      </c>
      <c r="BL5" s="29">
        <f t="shared" si="1"/>
        <v>8021.1299999999992</v>
      </c>
      <c r="BM5" s="29">
        <f t="shared" si="1"/>
        <v>2951.7799999999997</v>
      </c>
      <c r="BN5" s="29">
        <f t="shared" si="1"/>
        <v>0</v>
      </c>
      <c r="BO5" s="29">
        <f t="shared" si="1"/>
        <v>153.19999999999999</v>
      </c>
      <c r="BP5" s="29">
        <f t="shared" si="1"/>
        <v>0</v>
      </c>
      <c r="BQ5" s="29">
        <f t="shared" si="1"/>
        <v>0</v>
      </c>
      <c r="BR5" s="29">
        <f t="shared" si="1"/>
        <v>4916.1499999999996</v>
      </c>
      <c r="BS5" s="29">
        <f t="shared" si="1"/>
        <v>0</v>
      </c>
      <c r="BT5" s="30">
        <f t="shared" si="1"/>
        <v>0</v>
      </c>
    </row>
    <row r="6" spans="1:72" s="37" customFormat="1" ht="12.75">
      <c r="A6" s="26" t="s">
        <v>169</v>
      </c>
      <c r="B6" s="31"/>
      <c r="C6" s="31"/>
      <c r="D6" s="32"/>
      <c r="E6" s="27">
        <f>H6+AC6+AT6</f>
        <v>74772.84</v>
      </c>
      <c r="F6" s="27" t="s">
        <v>1</v>
      </c>
      <c r="G6" s="27" t="s">
        <v>2</v>
      </c>
      <c r="H6" s="33">
        <f>SUMIF(I$12:AB$12,"总值",I6:AB6)</f>
        <v>68455.62000000001</v>
      </c>
      <c r="I6" s="27">
        <f t="shared" ref="I6:AB6" si="2">ROUND($A$3*I5/$B$3,2)</f>
        <v>40904.050000000003</v>
      </c>
      <c r="J6" s="27">
        <f t="shared" si="2"/>
        <v>0</v>
      </c>
      <c r="K6" s="27">
        <f t="shared" si="2"/>
        <v>12622.22</v>
      </c>
      <c r="L6" s="27">
        <f t="shared" si="2"/>
        <v>0</v>
      </c>
      <c r="M6" s="27">
        <f t="shared" si="2"/>
        <v>14929.35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2479.29</v>
      </c>
      <c r="AD6" s="27">
        <f t="shared" ref="AD6:AS6" si="3">ROUND($A$3*AD5/$B$3,2)</f>
        <v>912.38</v>
      </c>
      <c r="AE6" s="27">
        <f t="shared" si="3"/>
        <v>0</v>
      </c>
      <c r="AF6" s="27">
        <f t="shared" si="3"/>
        <v>0</v>
      </c>
      <c r="AG6" s="27">
        <f t="shared" si="3"/>
        <v>0</v>
      </c>
      <c r="AH6" s="27">
        <f t="shared" si="3"/>
        <v>47.35</v>
      </c>
      <c r="AI6" s="27">
        <f t="shared" si="3"/>
        <v>0</v>
      </c>
      <c r="AJ6" s="27">
        <f t="shared" si="3"/>
        <v>0</v>
      </c>
      <c r="AK6" s="27">
        <f t="shared" si="3"/>
        <v>0</v>
      </c>
      <c r="AL6" s="27">
        <f t="shared" si="3"/>
        <v>0</v>
      </c>
      <c r="AM6" s="27">
        <f t="shared" si="3"/>
        <v>0</v>
      </c>
      <c r="AN6" s="27">
        <f t="shared" si="3"/>
        <v>1519.56</v>
      </c>
      <c r="AO6" s="27">
        <f t="shared" si="3"/>
        <v>0</v>
      </c>
      <c r="AP6" s="27">
        <f t="shared" si="3"/>
        <v>0</v>
      </c>
      <c r="AQ6" s="27">
        <f t="shared" si="3"/>
        <v>0</v>
      </c>
      <c r="AR6" s="27">
        <f t="shared" si="3"/>
        <v>0</v>
      </c>
      <c r="AS6" s="27">
        <f t="shared" si="3"/>
        <v>0</v>
      </c>
      <c r="AT6" s="33">
        <f>IF(C3="是",ROUND($A$3*AT5/$B$3,2),0)</f>
        <v>3837.93</v>
      </c>
      <c r="AU6" s="34"/>
      <c r="AV6" s="26" t="s">
        <v>169</v>
      </c>
      <c r="AW6" s="31"/>
      <c r="AX6" s="31"/>
      <c r="AY6" s="35">
        <f>IF(AY3&gt;0,AY3,ROUND($A$3*AZ5/$B$3,2))</f>
        <v>70934.91</v>
      </c>
      <c r="AZ6" s="27" t="s">
        <v>3</v>
      </c>
      <c r="BA6" s="27">
        <f>ROUND($AY$6*BA5/$AZ$5,2)</f>
        <v>68455.62</v>
      </c>
      <c r="BB6" s="27">
        <f>ROUND($AY$6*BB5/$AZ$5,2)</f>
        <v>40904.050000000003</v>
      </c>
      <c r="BC6" s="27">
        <f t="shared" ref="BC6:BH6" si="4">ROUND($AY$6*BC5/$AZ$5,2)</f>
        <v>12622.22</v>
      </c>
      <c r="BD6" s="27">
        <f t="shared" si="4"/>
        <v>14929.35</v>
      </c>
      <c r="BE6" s="27">
        <f t="shared" si="4"/>
        <v>0</v>
      </c>
      <c r="BF6" s="27">
        <f t="shared" si="4"/>
        <v>0</v>
      </c>
      <c r="BG6" s="27">
        <f t="shared" si="4"/>
        <v>0</v>
      </c>
      <c r="BH6" s="27">
        <f t="shared" si="4"/>
        <v>0</v>
      </c>
      <c r="BI6" s="27">
        <f t="shared" ref="BI6:BT6" si="5">ROUND($AY$6*BI5/$AZ$5,2)</f>
        <v>0</v>
      </c>
      <c r="BJ6" s="27">
        <f t="shared" si="5"/>
        <v>0</v>
      </c>
      <c r="BK6" s="27">
        <f t="shared" si="5"/>
        <v>0</v>
      </c>
      <c r="BL6" s="27">
        <f t="shared" si="5"/>
        <v>2479.29</v>
      </c>
      <c r="BM6" s="27">
        <f t="shared" si="5"/>
        <v>912.38</v>
      </c>
      <c r="BN6" s="27">
        <f t="shared" si="5"/>
        <v>0</v>
      </c>
      <c r="BO6" s="27">
        <f t="shared" si="5"/>
        <v>47.35</v>
      </c>
      <c r="BP6" s="27">
        <f t="shared" si="5"/>
        <v>0</v>
      </c>
      <c r="BQ6" s="27">
        <f t="shared" si="5"/>
        <v>0</v>
      </c>
      <c r="BR6" s="27">
        <f t="shared" si="5"/>
        <v>1519.56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2973</v>
      </c>
      <c r="J9" s="51"/>
      <c r="K9" s="3015" t="s">
        <v>2975</v>
      </c>
      <c r="L9" s="51"/>
      <c r="M9" s="3015" t="s">
        <v>2975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923</v>
      </c>
      <c r="J10" s="51"/>
      <c r="K10" s="3017" t="s">
        <v>2976</v>
      </c>
      <c r="L10" s="51"/>
      <c r="M10" s="3017" t="s">
        <v>2981</v>
      </c>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2329</v>
      </c>
      <c r="AK10" s="2332"/>
      <c r="AL10" s="2313" t="s">
        <v>2319</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2974</v>
      </c>
      <c r="J11" s="71"/>
      <c r="K11" s="3016" t="s">
        <v>2977</v>
      </c>
      <c r="L11" s="71"/>
      <c r="M11" s="70" t="s">
        <v>2981</v>
      </c>
      <c r="N11" s="71"/>
      <c r="O11" s="70"/>
      <c r="P11" s="71"/>
      <c r="Q11" s="70"/>
      <c r="R11" s="71"/>
      <c r="S11" s="70"/>
      <c r="T11" s="71"/>
      <c r="U11" s="70"/>
      <c r="V11" s="71"/>
      <c r="W11" s="70"/>
      <c r="X11" s="71"/>
      <c r="Y11" s="70"/>
      <c r="Z11" s="71"/>
      <c r="AA11" s="70"/>
      <c r="AB11" s="71"/>
      <c r="AC11" s="55"/>
      <c r="AD11" s="2333" t="s">
        <v>2328</v>
      </c>
      <c r="AE11" s="1000"/>
      <c r="AF11" s="2333" t="s">
        <v>2328</v>
      </c>
      <c r="AG11" s="1000"/>
      <c r="AH11" s="2333" t="s">
        <v>2327</v>
      </c>
      <c r="AI11" s="2334"/>
      <c r="AJ11" s="2333" t="s">
        <v>2327</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储藏间</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c r="A13" s="3013"/>
      <c r="B13" s="3013"/>
      <c r="C13" s="92" t="s">
        <v>2971</v>
      </c>
      <c r="D13" s="3014" t="s">
        <v>1679</v>
      </c>
      <c r="E13" s="27">
        <f t="shared" ref="E13:E20" si="6">IF($C$3="是",ROUND($A$3*G13/$B$3,2),ROUND($A$3*(G13-AT13)/$B$3,2))</f>
        <v>1695.82</v>
      </c>
      <c r="F13" s="81"/>
      <c r="G13" s="82">
        <f t="shared" ref="G13:G20" si="7">H13+AC13+AT13</f>
        <v>5486.39</v>
      </c>
      <c r="H13" s="33">
        <f t="shared" ref="H13:H20" si="8">SUMIF(I$12:AB$12,"总值",I13:AB13)</f>
        <v>5486.39</v>
      </c>
      <c r="I13" s="92">
        <v>4240.3</v>
      </c>
      <c r="J13" s="92"/>
      <c r="K13" s="92">
        <v>1246.0899999999999</v>
      </c>
      <c r="L13" s="92"/>
      <c r="M13" s="92"/>
      <c r="N13" s="92"/>
      <c r="O13" s="92"/>
      <c r="P13" s="92"/>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t="str">
        <f t="shared" si="10"/>
        <v>1#住宅楼</v>
      </c>
      <c r="AY13" s="994">
        <f t="shared" ref="AY13:AY20" si="11">ROUND($AY$6*AZ13/$AZ$5,2)</f>
        <v>1695.82</v>
      </c>
      <c r="AZ13" s="27">
        <f t="shared" ref="AZ13:AZ20" si="12">BA13+BL13</f>
        <v>5486.39</v>
      </c>
      <c r="BA13" s="27">
        <f t="shared" ref="BA13:BA20" si="13">SUM(BB13:BK13)</f>
        <v>5486.39</v>
      </c>
      <c r="BB13" s="27">
        <f t="shared" ref="BB13:BB20" si="14">IF($D13="是",I13-J13,0)</f>
        <v>4240.3</v>
      </c>
      <c r="BC13" s="27">
        <f t="shared" ref="BC13:BC20" si="15">IF($D13="是",K13-L13,0)</f>
        <v>1246.0899999999999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13"/>
      <c r="B14" s="3013"/>
      <c r="C14" s="92" t="s">
        <v>2972</v>
      </c>
      <c r="D14" s="3014" t="s">
        <v>1679</v>
      </c>
      <c r="E14" s="27">
        <f t="shared" si="6"/>
        <v>2604.4899999999998</v>
      </c>
      <c r="F14" s="81"/>
      <c r="G14" s="82">
        <f t="shared" si="7"/>
        <v>8426.18</v>
      </c>
      <c r="H14" s="33">
        <f t="shared" si="8"/>
        <v>8426.18</v>
      </c>
      <c r="I14" s="92">
        <v>6291.17</v>
      </c>
      <c r="J14" s="92"/>
      <c r="K14" s="92">
        <v>2135.0100000000002</v>
      </c>
      <c r="L14" s="92"/>
      <c r="M14" s="92"/>
      <c r="N14" s="92"/>
      <c r="O14" s="92"/>
      <c r="P14" s="92"/>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t="str">
        <f t="shared" si="10"/>
        <v>2#住宅楼</v>
      </c>
      <c r="AY14" s="994">
        <f t="shared" si="11"/>
        <v>2604.4899999999998</v>
      </c>
      <c r="AZ14" s="27">
        <f t="shared" si="12"/>
        <v>8426.18</v>
      </c>
      <c r="BA14" s="27">
        <f t="shared" si="13"/>
        <v>8426.18</v>
      </c>
      <c r="BB14" s="27">
        <f t="shared" si="14"/>
        <v>6291.17</v>
      </c>
      <c r="BC14" s="27">
        <f t="shared" si="15"/>
        <v>2135.0100000000002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13"/>
      <c r="B15" s="3013"/>
      <c r="C15" s="92" t="s">
        <v>2983</v>
      </c>
      <c r="D15" s="3014" t="s">
        <v>1679</v>
      </c>
      <c r="E15" s="27">
        <f t="shared" si="6"/>
        <v>2604.4899999999998</v>
      </c>
      <c r="F15" s="81"/>
      <c r="G15" s="82">
        <f t="shared" si="7"/>
        <v>8426.18</v>
      </c>
      <c r="H15" s="33">
        <f t="shared" si="8"/>
        <v>8426.18</v>
      </c>
      <c r="I15" s="92">
        <v>6291.17</v>
      </c>
      <c r="J15" s="92"/>
      <c r="K15" s="92">
        <v>2135.0100000000002</v>
      </c>
      <c r="L15" s="92"/>
      <c r="M15" s="92"/>
      <c r="N15" s="92"/>
      <c r="O15" s="92"/>
      <c r="P15" s="92"/>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t="str">
        <f t="shared" si="10"/>
        <v>3#住宅楼</v>
      </c>
      <c r="AY15" s="994">
        <f t="shared" si="11"/>
        <v>2604.4899999999998</v>
      </c>
      <c r="AZ15" s="27">
        <f t="shared" si="12"/>
        <v>8426.18</v>
      </c>
      <c r="BA15" s="27">
        <f t="shared" si="13"/>
        <v>8426.18</v>
      </c>
      <c r="BB15" s="27">
        <f t="shared" si="14"/>
        <v>6291.17</v>
      </c>
      <c r="BC15" s="27">
        <f t="shared" si="15"/>
        <v>2135.0100000000002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13"/>
      <c r="B16" s="3013"/>
      <c r="C16" s="92" t="s">
        <v>2984</v>
      </c>
      <c r="D16" s="3014" t="s">
        <v>1679</v>
      </c>
      <c r="E16" s="27">
        <f t="shared" si="6"/>
        <v>3328.02</v>
      </c>
      <c r="F16" s="81"/>
      <c r="G16" s="82">
        <f t="shared" si="7"/>
        <v>10766.990000000002</v>
      </c>
      <c r="H16" s="33">
        <f t="shared" si="8"/>
        <v>10766.990000000002</v>
      </c>
      <c r="I16" s="92">
        <v>8443.0400000000009</v>
      </c>
      <c r="J16" s="92"/>
      <c r="K16" s="92">
        <v>2323.9499999999998</v>
      </c>
      <c r="L16" s="92"/>
      <c r="M16" s="92"/>
      <c r="N16" s="92"/>
      <c r="O16" s="92"/>
      <c r="P16" s="92"/>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t="str">
        <f t="shared" si="10"/>
        <v>4#住宅楼</v>
      </c>
      <c r="AY16" s="994">
        <f t="shared" si="11"/>
        <v>3328.02</v>
      </c>
      <c r="AZ16" s="27">
        <f t="shared" si="12"/>
        <v>10766.990000000002</v>
      </c>
      <c r="BA16" s="27">
        <f t="shared" si="13"/>
        <v>10766.990000000002</v>
      </c>
      <c r="BB16" s="27">
        <f t="shared" si="14"/>
        <v>8443.0400000000009</v>
      </c>
      <c r="BC16" s="27">
        <f t="shared" si="15"/>
        <v>2323.9499999999998</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13"/>
      <c r="B17" s="3013"/>
      <c r="C17" s="92" t="s">
        <v>2985</v>
      </c>
      <c r="D17" s="3014" t="s">
        <v>1679</v>
      </c>
      <c r="E17" s="27">
        <f t="shared" si="6"/>
        <v>3375.18</v>
      </c>
      <c r="F17" s="81"/>
      <c r="G17" s="82">
        <f t="shared" si="7"/>
        <v>10919.56</v>
      </c>
      <c r="H17" s="33">
        <f t="shared" si="8"/>
        <v>10919.56</v>
      </c>
      <c r="I17" s="92">
        <v>8592.06</v>
      </c>
      <c r="J17" s="92"/>
      <c r="K17" s="92">
        <v>2327.5</v>
      </c>
      <c r="L17" s="92"/>
      <c r="M17" s="92"/>
      <c r="N17" s="92"/>
      <c r="O17" s="92"/>
      <c r="P17" s="92"/>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t="str">
        <f t="shared" si="10"/>
        <v>5#住宅楼</v>
      </c>
      <c r="AY17" s="994">
        <f t="shared" si="11"/>
        <v>3375.18</v>
      </c>
      <c r="AZ17" s="27">
        <f t="shared" si="12"/>
        <v>10919.56</v>
      </c>
      <c r="BA17" s="27">
        <f t="shared" si="13"/>
        <v>10919.56</v>
      </c>
      <c r="BB17" s="27">
        <f t="shared" si="14"/>
        <v>8592.06</v>
      </c>
      <c r="BC17" s="27">
        <f t="shared" si="15"/>
        <v>2327.5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92" t="s">
        <v>2986</v>
      </c>
      <c r="D18" s="3014" t="s">
        <v>1679</v>
      </c>
      <c r="E18" s="87">
        <f t="shared" si="6"/>
        <v>3299.95</v>
      </c>
      <c r="F18" s="88"/>
      <c r="G18" s="89">
        <f t="shared" si="7"/>
        <v>10676.150000000001</v>
      </c>
      <c r="H18" s="90">
        <f t="shared" si="8"/>
        <v>10676.150000000001</v>
      </c>
      <c r="I18" s="92">
        <v>8240.5300000000007</v>
      </c>
      <c r="J18" s="92"/>
      <c r="K18" s="92">
        <v>2435.62</v>
      </c>
      <c r="L18" s="92"/>
      <c r="M18" s="92"/>
      <c r="N18" s="92"/>
      <c r="O18" s="92"/>
      <c r="P18" s="92"/>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t="str">
        <f t="shared" si="10"/>
        <v>6#住宅楼</v>
      </c>
      <c r="AY18" s="95">
        <f t="shared" si="11"/>
        <v>3299.95</v>
      </c>
      <c r="AZ18" s="87">
        <f t="shared" si="12"/>
        <v>10676.150000000001</v>
      </c>
      <c r="BA18" s="87">
        <f t="shared" si="13"/>
        <v>10676.150000000001</v>
      </c>
      <c r="BB18" s="87">
        <f t="shared" si="14"/>
        <v>8240.5300000000007</v>
      </c>
      <c r="BC18" s="87">
        <f t="shared" si="15"/>
        <v>2435.62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92" t="s">
        <v>2987</v>
      </c>
      <c r="D19" s="3014" t="s">
        <v>1679</v>
      </c>
      <c r="E19" s="87">
        <f t="shared" si="6"/>
        <v>3814.81</v>
      </c>
      <c r="F19" s="88"/>
      <c r="G19" s="89">
        <f t="shared" si="7"/>
        <v>12341.859999999999</v>
      </c>
      <c r="H19" s="90">
        <f t="shared" si="8"/>
        <v>12341.859999999999</v>
      </c>
      <c r="I19" s="92">
        <v>9462.7999999999993</v>
      </c>
      <c r="J19" s="92"/>
      <c r="K19" s="92">
        <v>2879.06</v>
      </c>
      <c r="L19" s="92"/>
      <c r="M19" s="92"/>
      <c r="N19" s="92"/>
      <c r="O19" s="92"/>
      <c r="P19" s="92"/>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t="str">
        <f t="shared" si="10"/>
        <v>7#住宅楼</v>
      </c>
      <c r="AY19" s="95">
        <f t="shared" si="11"/>
        <v>3814.81</v>
      </c>
      <c r="AZ19" s="87">
        <f t="shared" si="12"/>
        <v>12341.859999999999</v>
      </c>
      <c r="BA19" s="87">
        <f t="shared" si="13"/>
        <v>12341.859999999999</v>
      </c>
      <c r="BB19" s="87">
        <f t="shared" si="14"/>
        <v>9462.7999999999993</v>
      </c>
      <c r="BC19" s="87">
        <f t="shared" si="15"/>
        <v>2879.06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92" t="s">
        <v>2988</v>
      </c>
      <c r="D20" s="3014" t="s">
        <v>1679</v>
      </c>
      <c r="E20" s="87">
        <f t="shared" si="6"/>
        <v>3532.87</v>
      </c>
      <c r="F20" s="88"/>
      <c r="G20" s="89">
        <f t="shared" si="7"/>
        <v>11429.71</v>
      </c>
      <c r="H20" s="90">
        <f t="shared" si="8"/>
        <v>11429.71</v>
      </c>
      <c r="I20" s="92">
        <v>8744.5</v>
      </c>
      <c r="J20" s="92"/>
      <c r="K20" s="92">
        <v>2685.21</v>
      </c>
      <c r="L20" s="92"/>
      <c r="M20" s="92"/>
      <c r="N20" s="92"/>
      <c r="O20" s="92"/>
      <c r="P20" s="92"/>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t="str">
        <f t="shared" si="10"/>
        <v>8#住宅楼</v>
      </c>
      <c r="AY20" s="95">
        <f t="shared" si="11"/>
        <v>3532.87</v>
      </c>
      <c r="AZ20" s="87">
        <f t="shared" si="12"/>
        <v>11429.71</v>
      </c>
      <c r="BA20" s="87">
        <f t="shared" si="13"/>
        <v>11429.71</v>
      </c>
      <c r="BB20" s="87">
        <f t="shared" si="14"/>
        <v>8744.5</v>
      </c>
      <c r="BC20" s="87">
        <f t="shared" si="15"/>
        <v>2685.21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92" t="s">
        <v>2989</v>
      </c>
      <c r="D21" s="3014" t="s">
        <v>1679</v>
      </c>
      <c r="E21" s="87">
        <f t="shared" ref="E21:E112" si="33">IF($C$3="是",ROUND($A$3*G21/$B$3,2),ROUND($A$3*(G21-AT21)/$B$3,2))</f>
        <v>3814.81</v>
      </c>
      <c r="F21" s="88"/>
      <c r="G21" s="89">
        <f t="shared" ref="G21:G109" si="34">H21+AC21+AT21</f>
        <v>12341.859999999999</v>
      </c>
      <c r="H21" s="90">
        <f t="shared" ref="H21:H109" si="35">SUMIF(I$12:AB$12,"总值",I21:AB21)</f>
        <v>12341.859999999999</v>
      </c>
      <c r="I21" s="92">
        <v>9462.7999999999993</v>
      </c>
      <c r="J21" s="92"/>
      <c r="K21" s="92">
        <v>2879.06</v>
      </c>
      <c r="L21" s="92"/>
      <c r="M21" s="92"/>
      <c r="N21" s="92"/>
      <c r="O21" s="92"/>
      <c r="P21" s="92"/>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t="str">
        <f t="shared" ref="AX21:AX112" si="39">C21</f>
        <v>9#住宅楼</v>
      </c>
      <c r="AY21" s="95">
        <f t="shared" ref="AY21:AY109" si="40">ROUND($AY$6*AZ21/$AZ$5,2)</f>
        <v>3814.81</v>
      </c>
      <c r="AZ21" s="87">
        <f t="shared" ref="AZ21:AZ109" si="41">BA21+BL21</f>
        <v>12341.859999999999</v>
      </c>
      <c r="BA21" s="87">
        <f t="shared" ref="BA21:BA109" si="42">SUM(BB21:BK21)</f>
        <v>12341.859999999999</v>
      </c>
      <c r="BB21" s="87">
        <f t="shared" ref="BB21:BB109" si="43">IF($D21="是",I21-J21,0)</f>
        <v>9462.7999999999993</v>
      </c>
      <c r="BC21" s="87">
        <f t="shared" ref="BC21:BC109" si="44">IF($D21="是",K21-L21,0)</f>
        <v>2879.06</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92" t="s">
        <v>2990</v>
      </c>
      <c r="D22" s="3014" t="s">
        <v>1679</v>
      </c>
      <c r="E22" s="87">
        <f t="shared" si="33"/>
        <v>3290.86</v>
      </c>
      <c r="F22" s="88"/>
      <c r="G22" s="89">
        <f t="shared" si="34"/>
        <v>10646.77</v>
      </c>
      <c r="H22" s="90">
        <f t="shared" si="35"/>
        <v>10646.77</v>
      </c>
      <c r="I22" s="92">
        <v>8240.5300000000007</v>
      </c>
      <c r="J22" s="92"/>
      <c r="K22" s="92">
        <v>2406.2399999999998</v>
      </c>
      <c r="L22" s="92"/>
      <c r="M22" s="92"/>
      <c r="N22" s="92"/>
      <c r="O22" s="92"/>
      <c r="P22" s="92"/>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t="str">
        <f t="shared" si="39"/>
        <v>10#住宅楼</v>
      </c>
      <c r="AY22" s="95">
        <f t="shared" si="40"/>
        <v>3290.87</v>
      </c>
      <c r="AZ22" s="87">
        <f t="shared" si="41"/>
        <v>10646.77</v>
      </c>
      <c r="BA22" s="87">
        <f t="shared" si="42"/>
        <v>10646.77</v>
      </c>
      <c r="BB22" s="87">
        <f t="shared" si="43"/>
        <v>8240.5300000000007</v>
      </c>
      <c r="BC22" s="87">
        <f t="shared" si="44"/>
        <v>2406.2399999999998</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92" t="s">
        <v>2991</v>
      </c>
      <c r="D23" s="3014" t="s">
        <v>1679</v>
      </c>
      <c r="E23" s="87">
        <f t="shared" si="33"/>
        <v>3312.07</v>
      </c>
      <c r="F23" s="88"/>
      <c r="G23" s="89">
        <f t="shared" si="34"/>
        <v>10715.380000000001</v>
      </c>
      <c r="H23" s="90">
        <f t="shared" si="35"/>
        <v>10715.380000000001</v>
      </c>
      <c r="I23" s="92">
        <v>8292.83</v>
      </c>
      <c r="J23" s="92"/>
      <c r="K23" s="92">
        <v>2422.5500000000002</v>
      </c>
      <c r="L23" s="92"/>
      <c r="M23" s="92"/>
      <c r="N23" s="92"/>
      <c r="O23" s="92"/>
      <c r="P23" s="92"/>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t="str">
        <f t="shared" si="39"/>
        <v>11#住宅楼</v>
      </c>
      <c r="AY23" s="95">
        <f t="shared" si="40"/>
        <v>3312.07</v>
      </c>
      <c r="AZ23" s="87">
        <f t="shared" si="41"/>
        <v>10715.380000000001</v>
      </c>
      <c r="BA23" s="87">
        <f t="shared" si="42"/>
        <v>10715.380000000001</v>
      </c>
      <c r="BB23" s="87">
        <f t="shared" si="43"/>
        <v>8292.83</v>
      </c>
      <c r="BC23" s="87">
        <f t="shared" si="44"/>
        <v>2422.5500000000002</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92" t="s">
        <v>2992</v>
      </c>
      <c r="D24" s="3014" t="s">
        <v>1679</v>
      </c>
      <c r="E24" s="87">
        <f t="shared" si="33"/>
        <v>3394.51</v>
      </c>
      <c r="F24" s="88"/>
      <c r="G24" s="89">
        <f t="shared" si="34"/>
        <v>10982.1</v>
      </c>
      <c r="H24" s="90">
        <f t="shared" si="35"/>
        <v>10982.1</v>
      </c>
      <c r="I24" s="92">
        <v>8118.16</v>
      </c>
      <c r="J24" s="92"/>
      <c r="K24" s="92">
        <v>2863.94</v>
      </c>
      <c r="L24" s="92"/>
      <c r="M24" s="92"/>
      <c r="N24" s="92"/>
      <c r="O24" s="92"/>
      <c r="P24" s="92"/>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t="str">
        <f t="shared" si="39"/>
        <v>12#住宅楼</v>
      </c>
      <c r="AY24" s="95">
        <f t="shared" si="40"/>
        <v>3394.51</v>
      </c>
      <c r="AZ24" s="87">
        <f t="shared" si="41"/>
        <v>10982.1</v>
      </c>
      <c r="BA24" s="87">
        <f t="shared" si="42"/>
        <v>10982.1</v>
      </c>
      <c r="BB24" s="87">
        <f t="shared" si="43"/>
        <v>8118.16</v>
      </c>
      <c r="BC24" s="87">
        <f t="shared" si="44"/>
        <v>2863.94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92" t="s">
        <v>2993</v>
      </c>
      <c r="D25" s="3014" t="s">
        <v>1679</v>
      </c>
      <c r="E25" s="87">
        <f t="shared" si="33"/>
        <v>3097.12</v>
      </c>
      <c r="F25" s="88"/>
      <c r="G25" s="89">
        <f t="shared" si="34"/>
        <v>10019.960000000001</v>
      </c>
      <c r="H25" s="90">
        <f t="shared" si="35"/>
        <v>10019.960000000001</v>
      </c>
      <c r="I25" s="92">
        <v>7692.93</v>
      </c>
      <c r="J25" s="92"/>
      <c r="K25" s="92">
        <v>2327.0300000000002</v>
      </c>
      <c r="L25" s="92"/>
      <c r="M25" s="92"/>
      <c r="N25" s="92"/>
      <c r="O25" s="92"/>
      <c r="P25" s="92"/>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13#住宅楼</v>
      </c>
      <c r="AY25" s="95">
        <f t="shared" si="40"/>
        <v>3097.12</v>
      </c>
      <c r="AZ25" s="87">
        <f t="shared" si="41"/>
        <v>10019.960000000001</v>
      </c>
      <c r="BA25" s="87">
        <f t="shared" si="42"/>
        <v>10019.960000000001</v>
      </c>
      <c r="BB25" s="87">
        <f t="shared" si="43"/>
        <v>7692.93</v>
      </c>
      <c r="BC25" s="87">
        <f t="shared" si="44"/>
        <v>2327.0300000000002</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92" t="s">
        <v>2994</v>
      </c>
      <c r="D26" s="3014" t="s">
        <v>1679</v>
      </c>
      <c r="E26" s="87">
        <f t="shared" si="33"/>
        <v>2815.72</v>
      </c>
      <c r="F26" s="88"/>
      <c r="G26" s="89">
        <f t="shared" si="34"/>
        <v>9109.5499999999993</v>
      </c>
      <c r="H26" s="90">
        <f t="shared" si="35"/>
        <v>9109.5499999999993</v>
      </c>
      <c r="I26" s="92">
        <v>6974.54</v>
      </c>
      <c r="J26" s="92"/>
      <c r="K26" s="92">
        <v>2135.0100000000002</v>
      </c>
      <c r="L26" s="92"/>
      <c r="M26" s="92"/>
      <c r="N26" s="92"/>
      <c r="O26" s="92"/>
      <c r="P26" s="92"/>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14#住宅楼</v>
      </c>
      <c r="AY26" s="95">
        <f t="shared" si="40"/>
        <v>2815.72</v>
      </c>
      <c r="AZ26" s="87">
        <f t="shared" si="41"/>
        <v>9109.5499999999993</v>
      </c>
      <c r="BA26" s="87">
        <f t="shared" si="42"/>
        <v>9109.5499999999993</v>
      </c>
      <c r="BB26" s="87">
        <f t="shared" si="43"/>
        <v>6974.54</v>
      </c>
      <c r="BC26" s="87">
        <f t="shared" si="44"/>
        <v>2135.0100000000002</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92" t="s">
        <v>2995</v>
      </c>
      <c r="D27" s="3014" t="s">
        <v>1679</v>
      </c>
      <c r="E27" s="87">
        <f t="shared" si="33"/>
        <v>3532.87</v>
      </c>
      <c r="F27" s="88"/>
      <c r="G27" s="89">
        <f t="shared" si="34"/>
        <v>11429.71</v>
      </c>
      <c r="H27" s="90">
        <f t="shared" si="35"/>
        <v>11429.71</v>
      </c>
      <c r="I27" s="92">
        <v>8744.5</v>
      </c>
      <c r="J27" s="92"/>
      <c r="K27" s="92">
        <v>2685.21</v>
      </c>
      <c r="L27" s="92"/>
      <c r="M27" s="92"/>
      <c r="N27" s="92"/>
      <c r="O27" s="92"/>
      <c r="P27" s="92"/>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15#住宅楼</v>
      </c>
      <c r="AY27" s="95">
        <f t="shared" si="40"/>
        <v>3532.87</v>
      </c>
      <c r="AZ27" s="87">
        <f t="shared" si="41"/>
        <v>11429.71</v>
      </c>
      <c r="BA27" s="87">
        <f t="shared" si="42"/>
        <v>11429.71</v>
      </c>
      <c r="BB27" s="87">
        <f t="shared" si="43"/>
        <v>8744.5</v>
      </c>
      <c r="BC27" s="87">
        <f t="shared" si="44"/>
        <v>2685.21</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92" t="s">
        <v>2996</v>
      </c>
      <c r="D28" s="3014" t="s">
        <v>1679</v>
      </c>
      <c r="E28" s="87">
        <f t="shared" si="33"/>
        <v>2609.5300000000002</v>
      </c>
      <c r="F28" s="88"/>
      <c r="G28" s="89">
        <f t="shared" si="34"/>
        <v>8442.48</v>
      </c>
      <c r="H28" s="90">
        <f t="shared" si="35"/>
        <v>8442.48</v>
      </c>
      <c r="I28" s="92">
        <v>6291.17</v>
      </c>
      <c r="J28" s="92"/>
      <c r="K28" s="92">
        <v>2151.31</v>
      </c>
      <c r="L28" s="92"/>
      <c r="M28" s="92"/>
      <c r="N28" s="92"/>
      <c r="O28" s="92"/>
      <c r="P28" s="92"/>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16#住宅楼</v>
      </c>
      <c r="AY28" s="95">
        <f t="shared" si="40"/>
        <v>2609.5300000000002</v>
      </c>
      <c r="AZ28" s="87">
        <f t="shared" si="41"/>
        <v>8442.48</v>
      </c>
      <c r="BA28" s="87">
        <f t="shared" si="42"/>
        <v>8442.48</v>
      </c>
      <c r="BB28" s="87">
        <f t="shared" si="43"/>
        <v>6291.17</v>
      </c>
      <c r="BC28" s="87">
        <f t="shared" si="44"/>
        <v>2151.31</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92" t="s">
        <v>2997</v>
      </c>
      <c r="D29" s="3014" t="s">
        <v>1679</v>
      </c>
      <c r="E29" s="87">
        <f t="shared" si="33"/>
        <v>3403.14</v>
      </c>
      <c r="F29" s="88"/>
      <c r="G29" s="89">
        <f t="shared" si="34"/>
        <v>11010.02</v>
      </c>
      <c r="H29" s="90">
        <f t="shared" si="35"/>
        <v>11010.02</v>
      </c>
      <c r="I29" s="92">
        <v>8211.7900000000009</v>
      </c>
      <c r="J29" s="92"/>
      <c r="K29" s="92">
        <v>2798.23</v>
      </c>
      <c r="L29" s="92"/>
      <c r="M29" s="92"/>
      <c r="N29" s="92"/>
      <c r="O29" s="92"/>
      <c r="P29" s="92"/>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t="str">
        <f t="shared" si="39"/>
        <v>17#住宅楼</v>
      </c>
      <c r="AY29" s="95">
        <f t="shared" si="40"/>
        <v>3403.14</v>
      </c>
      <c r="AZ29" s="87">
        <f t="shared" si="41"/>
        <v>11010.02</v>
      </c>
      <c r="BA29" s="87">
        <f t="shared" si="42"/>
        <v>11010.02</v>
      </c>
      <c r="BB29" s="87">
        <f t="shared" si="43"/>
        <v>8211.7900000000009</v>
      </c>
      <c r="BC29" s="87">
        <f t="shared" si="44"/>
        <v>2798.23</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84"/>
      <c r="B30" s="1392"/>
      <c r="C30" s="92" t="s">
        <v>2979</v>
      </c>
      <c r="D30" s="3014" t="s">
        <v>1679</v>
      </c>
      <c r="E30" s="87">
        <f t="shared" si="33"/>
        <v>47.68</v>
      </c>
      <c r="F30" s="88"/>
      <c r="G30" s="89">
        <f t="shared" si="34"/>
        <v>154.26</v>
      </c>
      <c r="H30" s="90">
        <f t="shared" si="35"/>
        <v>0</v>
      </c>
      <c r="I30" s="92"/>
      <c r="J30" s="92"/>
      <c r="K30" s="92"/>
      <c r="L30" s="92"/>
      <c r="M30" s="92"/>
      <c r="N30" s="92"/>
      <c r="O30" s="92"/>
      <c r="P30" s="92"/>
      <c r="Q30" s="91"/>
      <c r="R30" s="91"/>
      <c r="S30" s="91"/>
      <c r="T30" s="91"/>
      <c r="U30" s="91"/>
      <c r="V30" s="91"/>
      <c r="W30" s="91"/>
      <c r="X30" s="91"/>
      <c r="Y30" s="91"/>
      <c r="Z30" s="91"/>
      <c r="AA30" s="91"/>
      <c r="AB30" s="91"/>
      <c r="AC30" s="87">
        <f t="shared" si="36"/>
        <v>154.26</v>
      </c>
      <c r="AD30" s="92">
        <v>34.799999999999997</v>
      </c>
      <c r="AE30" s="92"/>
      <c r="AF30" s="1395"/>
      <c r="AG30" s="92"/>
      <c r="AH30" s="92">
        <v>119.46</v>
      </c>
      <c r="AI30" s="92"/>
      <c r="AJ30" s="92"/>
      <c r="AK30" s="92"/>
      <c r="AL30" s="92"/>
      <c r="AM30" s="92"/>
      <c r="AN30" s="92"/>
      <c r="AO30" s="92"/>
      <c r="AP30" s="92"/>
      <c r="AQ30" s="92"/>
      <c r="AR30" s="92"/>
      <c r="AS30" s="92"/>
      <c r="AT30" s="93"/>
      <c r="AU30" s="94"/>
      <c r="AV30" s="1978">
        <f t="shared" si="37"/>
        <v>0</v>
      </c>
      <c r="AW30" s="1978">
        <f t="shared" si="38"/>
        <v>0</v>
      </c>
      <c r="AX30" s="1978" t="str">
        <f t="shared" si="39"/>
        <v>1#居服配套楼</v>
      </c>
      <c r="AY30" s="95">
        <f t="shared" si="40"/>
        <v>47.68</v>
      </c>
      <c r="AZ30" s="87">
        <f t="shared" si="41"/>
        <v>154.26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154.26</v>
      </c>
      <c r="BM30" s="87">
        <f t="shared" si="54"/>
        <v>34.799999999999997</v>
      </c>
      <c r="BN30" s="87">
        <f t="shared" si="55"/>
        <v>0</v>
      </c>
      <c r="BO30" s="87">
        <f t="shared" si="56"/>
        <v>119.46</v>
      </c>
      <c r="BP30" s="87">
        <f t="shared" si="57"/>
        <v>0</v>
      </c>
      <c r="BQ30" s="87">
        <f t="shared" si="58"/>
        <v>0</v>
      </c>
      <c r="BR30" s="87">
        <f t="shared" si="59"/>
        <v>0</v>
      </c>
      <c r="BS30" s="87">
        <f t="shared" si="60"/>
        <v>0</v>
      </c>
      <c r="BT30" s="96">
        <f t="shared" si="61"/>
        <v>0</v>
      </c>
    </row>
    <row r="31" spans="1:72" ht="28.5">
      <c r="A31" s="84"/>
      <c r="B31" s="1392"/>
      <c r="C31" s="92" t="s">
        <v>2998</v>
      </c>
      <c r="D31" s="3014" t="s">
        <v>1679</v>
      </c>
      <c r="E31" s="87">
        <f t="shared" si="33"/>
        <v>247.87</v>
      </c>
      <c r="F31" s="88"/>
      <c r="G31" s="89">
        <f t="shared" si="34"/>
        <v>801.92</v>
      </c>
      <c r="H31" s="90">
        <f t="shared" si="35"/>
        <v>0</v>
      </c>
      <c r="I31" s="92"/>
      <c r="J31" s="92"/>
      <c r="K31" s="92"/>
      <c r="L31" s="92"/>
      <c r="M31" s="92"/>
      <c r="N31" s="92"/>
      <c r="O31" s="92"/>
      <c r="P31" s="92"/>
      <c r="Q31" s="91"/>
      <c r="R31" s="91"/>
      <c r="S31" s="91"/>
      <c r="T31" s="91"/>
      <c r="U31" s="91"/>
      <c r="V31" s="91"/>
      <c r="W31" s="91"/>
      <c r="X31" s="91"/>
      <c r="Y31" s="91"/>
      <c r="Z31" s="91"/>
      <c r="AA31" s="91"/>
      <c r="AB31" s="91"/>
      <c r="AC31" s="87">
        <f t="shared" si="36"/>
        <v>801.92</v>
      </c>
      <c r="AD31" s="92">
        <v>801.92</v>
      </c>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t="str">
        <f t="shared" si="39"/>
        <v>2#居服配套楼</v>
      </c>
      <c r="AY31" s="95">
        <f t="shared" si="40"/>
        <v>247.87</v>
      </c>
      <c r="AZ31" s="87">
        <f t="shared" si="41"/>
        <v>801.92</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801.92</v>
      </c>
      <c r="BM31" s="87">
        <f t="shared" si="54"/>
        <v>801.92</v>
      </c>
      <c r="BN31" s="87">
        <f t="shared" si="55"/>
        <v>0</v>
      </c>
      <c r="BO31" s="87">
        <f t="shared" si="56"/>
        <v>0</v>
      </c>
      <c r="BP31" s="87">
        <f t="shared" si="57"/>
        <v>0</v>
      </c>
      <c r="BQ31" s="87">
        <f t="shared" si="58"/>
        <v>0</v>
      </c>
      <c r="BR31" s="87">
        <f t="shared" si="59"/>
        <v>0</v>
      </c>
      <c r="BS31" s="87">
        <f t="shared" si="60"/>
        <v>0</v>
      </c>
      <c r="BT31" s="96">
        <f t="shared" si="61"/>
        <v>0</v>
      </c>
    </row>
    <row r="32" spans="1:72" ht="28.5">
      <c r="A32" s="84"/>
      <c r="B32" s="1392"/>
      <c r="C32" s="92" t="s">
        <v>2999</v>
      </c>
      <c r="D32" s="3014" t="s">
        <v>1679</v>
      </c>
      <c r="E32" s="87">
        <f t="shared" si="33"/>
        <v>124.6</v>
      </c>
      <c r="F32" s="88"/>
      <c r="G32" s="89">
        <f t="shared" si="34"/>
        <v>403.11</v>
      </c>
      <c r="H32" s="90">
        <f t="shared" si="35"/>
        <v>0</v>
      </c>
      <c r="I32" s="92"/>
      <c r="J32" s="92"/>
      <c r="K32" s="92"/>
      <c r="L32" s="92"/>
      <c r="M32" s="92"/>
      <c r="N32" s="92"/>
      <c r="O32" s="92"/>
      <c r="P32" s="92"/>
      <c r="Q32" s="91"/>
      <c r="R32" s="91"/>
      <c r="S32" s="91"/>
      <c r="T32" s="91"/>
      <c r="U32" s="91"/>
      <c r="V32" s="91"/>
      <c r="W32" s="91"/>
      <c r="X32" s="91"/>
      <c r="Y32" s="91"/>
      <c r="Z32" s="91"/>
      <c r="AA32" s="91"/>
      <c r="AB32" s="91"/>
      <c r="AC32" s="87">
        <f t="shared" si="36"/>
        <v>403.11</v>
      </c>
      <c r="AD32" s="92">
        <f>200.65+202.46</f>
        <v>403.11</v>
      </c>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t="str">
        <f t="shared" si="39"/>
        <v>3#居服配套楼</v>
      </c>
      <c r="AY32" s="95">
        <f t="shared" si="40"/>
        <v>124.6</v>
      </c>
      <c r="AZ32" s="87">
        <f t="shared" si="41"/>
        <v>403.11</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403.11</v>
      </c>
      <c r="BM32" s="87">
        <f t="shared" si="54"/>
        <v>403.11</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2"/>
      <c r="C33" s="92" t="s">
        <v>3000</v>
      </c>
      <c r="D33" s="3014" t="s">
        <v>1679</v>
      </c>
      <c r="E33" s="87">
        <f t="shared" si="33"/>
        <v>10.43</v>
      </c>
      <c r="F33" s="88"/>
      <c r="G33" s="89">
        <f t="shared" si="34"/>
        <v>33.74</v>
      </c>
      <c r="H33" s="90">
        <f t="shared" si="35"/>
        <v>0</v>
      </c>
      <c r="I33" s="92"/>
      <c r="J33" s="92"/>
      <c r="K33" s="92"/>
      <c r="L33" s="92"/>
      <c r="M33" s="92"/>
      <c r="N33" s="92"/>
      <c r="O33" s="92"/>
      <c r="P33" s="92"/>
      <c r="Q33" s="91"/>
      <c r="R33" s="91"/>
      <c r="S33" s="91"/>
      <c r="T33" s="91"/>
      <c r="U33" s="91"/>
      <c r="V33" s="91"/>
      <c r="W33" s="91"/>
      <c r="X33" s="91"/>
      <c r="Y33" s="91"/>
      <c r="Z33" s="91"/>
      <c r="AA33" s="91"/>
      <c r="AB33" s="91"/>
      <c r="AC33" s="87">
        <f t="shared" si="36"/>
        <v>33.74</v>
      </c>
      <c r="AD33" s="92"/>
      <c r="AE33" s="92"/>
      <c r="AF33" s="1395"/>
      <c r="AG33" s="92"/>
      <c r="AH33" s="92">
        <v>33.74</v>
      </c>
      <c r="AI33" s="92"/>
      <c r="AJ33" s="92"/>
      <c r="AK33" s="92"/>
      <c r="AL33" s="92"/>
      <c r="AM33" s="92"/>
      <c r="AN33" s="92"/>
      <c r="AO33" s="92"/>
      <c r="AP33" s="92"/>
      <c r="AQ33" s="92"/>
      <c r="AR33" s="92"/>
      <c r="AS33" s="92"/>
      <c r="AT33" s="93"/>
      <c r="AU33" s="94"/>
      <c r="AV33" s="1978">
        <f t="shared" si="37"/>
        <v>0</v>
      </c>
      <c r="AW33" s="1978">
        <f t="shared" si="38"/>
        <v>0</v>
      </c>
      <c r="AX33" s="1978" t="str">
        <f t="shared" si="39"/>
        <v>4#居服配套楼</v>
      </c>
      <c r="AY33" s="95">
        <f t="shared" si="40"/>
        <v>10.43</v>
      </c>
      <c r="AZ33" s="87">
        <f t="shared" si="41"/>
        <v>33.74</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33.74</v>
      </c>
      <c r="BM33" s="87">
        <f t="shared" si="54"/>
        <v>0</v>
      </c>
      <c r="BN33" s="87">
        <f t="shared" si="55"/>
        <v>0</v>
      </c>
      <c r="BO33" s="87">
        <f t="shared" si="56"/>
        <v>33.74</v>
      </c>
      <c r="BP33" s="87">
        <f t="shared" si="57"/>
        <v>0</v>
      </c>
      <c r="BQ33" s="87">
        <f t="shared" si="58"/>
        <v>0</v>
      </c>
      <c r="BR33" s="87">
        <f t="shared" si="59"/>
        <v>0</v>
      </c>
      <c r="BS33" s="87">
        <f t="shared" si="60"/>
        <v>0</v>
      </c>
      <c r="BT33" s="96">
        <f t="shared" si="61"/>
        <v>0</v>
      </c>
    </row>
    <row r="34" spans="1:72" ht="28.5">
      <c r="A34" s="84"/>
      <c r="B34" s="1392"/>
      <c r="C34" s="92" t="s">
        <v>3001</v>
      </c>
      <c r="D34" s="3014" t="s">
        <v>1679</v>
      </c>
      <c r="E34" s="87">
        <f t="shared" si="33"/>
        <v>173.24</v>
      </c>
      <c r="F34" s="88"/>
      <c r="G34" s="89">
        <f t="shared" si="34"/>
        <v>560.4799999999999</v>
      </c>
      <c r="H34" s="90">
        <f t="shared" si="35"/>
        <v>0</v>
      </c>
      <c r="I34" s="92"/>
      <c r="J34" s="92"/>
      <c r="K34" s="92"/>
      <c r="L34" s="92"/>
      <c r="M34" s="92"/>
      <c r="N34" s="92"/>
      <c r="O34" s="92"/>
      <c r="P34" s="92"/>
      <c r="Q34" s="91"/>
      <c r="R34" s="91"/>
      <c r="S34" s="91"/>
      <c r="T34" s="91"/>
      <c r="U34" s="91"/>
      <c r="V34" s="91"/>
      <c r="W34" s="91"/>
      <c r="X34" s="91"/>
      <c r="Y34" s="91"/>
      <c r="Z34" s="91"/>
      <c r="AA34" s="91"/>
      <c r="AB34" s="91"/>
      <c r="AC34" s="87">
        <f t="shared" si="36"/>
        <v>560.4799999999999</v>
      </c>
      <c r="AD34" s="92">
        <f>120.96+350.38+71.36+17.78</f>
        <v>560.4799999999999</v>
      </c>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t="str">
        <f t="shared" si="39"/>
        <v>5#居服配套楼</v>
      </c>
      <c r="AY34" s="95">
        <f t="shared" si="40"/>
        <v>173.24</v>
      </c>
      <c r="AZ34" s="87">
        <f t="shared" si="41"/>
        <v>560.4799999999999</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560.4799999999999</v>
      </c>
      <c r="BM34" s="87">
        <f t="shared" si="54"/>
        <v>560.4799999999999</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92" t="s">
        <v>2980</v>
      </c>
      <c r="D35" s="3014" t="s">
        <v>1679</v>
      </c>
      <c r="E35" s="87">
        <f t="shared" si="33"/>
        <v>20549.2</v>
      </c>
      <c r="F35" s="88"/>
      <c r="G35" s="89">
        <f t="shared" si="34"/>
        <v>66481.78</v>
      </c>
      <c r="H35" s="90">
        <f t="shared" si="35"/>
        <v>48300.160000000003</v>
      </c>
      <c r="I35" s="92"/>
      <c r="J35" s="92"/>
      <c r="K35" s="92"/>
      <c r="L35" s="92"/>
      <c r="M35" s="92">
        <f>60414.16-AT35</f>
        <v>48300.160000000003</v>
      </c>
      <c r="N35" s="92"/>
      <c r="O35" s="92"/>
      <c r="P35" s="92"/>
      <c r="Q35" s="91"/>
      <c r="R35" s="91"/>
      <c r="S35" s="91"/>
      <c r="T35" s="91"/>
      <c r="U35" s="91"/>
      <c r="V35" s="91"/>
      <c r="W35" s="91"/>
      <c r="X35" s="91"/>
      <c r="Y35" s="91"/>
      <c r="Z35" s="91"/>
      <c r="AA35" s="91"/>
      <c r="AB35" s="91"/>
      <c r="AC35" s="87">
        <f t="shared" si="36"/>
        <v>6067.62</v>
      </c>
      <c r="AD35" s="92">
        <v>1151.47</v>
      </c>
      <c r="AE35" s="92"/>
      <c r="AF35" s="1395"/>
      <c r="AG35" s="92"/>
      <c r="AH35" s="92"/>
      <c r="AI35" s="92"/>
      <c r="AJ35" s="92"/>
      <c r="AK35" s="92"/>
      <c r="AL35" s="92"/>
      <c r="AM35" s="92"/>
      <c r="AN35" s="92">
        <f>3999.4+916.75</f>
        <v>4916.1499999999996</v>
      </c>
      <c r="AO35" s="92"/>
      <c r="AP35" s="92"/>
      <c r="AQ35" s="92"/>
      <c r="AR35" s="92"/>
      <c r="AS35" s="92"/>
      <c r="AT35" s="93">
        <v>12114</v>
      </c>
      <c r="AU35" s="94"/>
      <c r="AV35" s="1978">
        <f t="shared" si="37"/>
        <v>0</v>
      </c>
      <c r="AW35" s="1978">
        <f t="shared" si="38"/>
        <v>0</v>
      </c>
      <c r="AX35" s="1978" t="str">
        <f t="shared" si="39"/>
        <v>地下车库</v>
      </c>
      <c r="AY35" s="95">
        <f t="shared" si="40"/>
        <v>16804.82</v>
      </c>
      <c r="AZ35" s="87">
        <f t="shared" si="41"/>
        <v>54367.780000000006</v>
      </c>
      <c r="BA35" s="87">
        <f t="shared" si="42"/>
        <v>48300.160000000003</v>
      </c>
      <c r="BB35" s="87">
        <f t="shared" si="43"/>
        <v>0</v>
      </c>
      <c r="BC35" s="87">
        <f t="shared" si="44"/>
        <v>0</v>
      </c>
      <c r="BD35" s="87">
        <f t="shared" si="45"/>
        <v>48300.160000000003</v>
      </c>
      <c r="BE35" s="87">
        <f t="shared" si="46"/>
        <v>0</v>
      </c>
      <c r="BF35" s="87">
        <f t="shared" si="47"/>
        <v>0</v>
      </c>
      <c r="BG35" s="87">
        <f t="shared" si="48"/>
        <v>0</v>
      </c>
      <c r="BH35" s="87">
        <f t="shared" si="49"/>
        <v>0</v>
      </c>
      <c r="BI35" s="87">
        <f t="shared" si="50"/>
        <v>0</v>
      </c>
      <c r="BJ35" s="87">
        <f t="shared" si="51"/>
        <v>0</v>
      </c>
      <c r="BK35" s="87">
        <f t="shared" si="52"/>
        <v>0</v>
      </c>
      <c r="BL35" s="87">
        <f t="shared" si="53"/>
        <v>6067.62</v>
      </c>
      <c r="BM35" s="87">
        <f t="shared" si="54"/>
        <v>1151.47</v>
      </c>
      <c r="BN35" s="87">
        <f t="shared" si="55"/>
        <v>0</v>
      </c>
      <c r="BO35" s="87">
        <f t="shared" si="56"/>
        <v>0</v>
      </c>
      <c r="BP35" s="87">
        <f t="shared" si="57"/>
        <v>0</v>
      </c>
      <c r="BQ35" s="87">
        <f t="shared" si="58"/>
        <v>0</v>
      </c>
      <c r="BR35" s="87">
        <f t="shared" si="59"/>
        <v>4916.1499999999996</v>
      </c>
      <c r="BS35" s="87">
        <f t="shared" si="60"/>
        <v>0</v>
      </c>
      <c r="BT35" s="96">
        <f t="shared" si="61"/>
        <v>0</v>
      </c>
    </row>
    <row r="36" spans="1:72" ht="42.75">
      <c r="A36" s="84"/>
      <c r="B36" s="1392"/>
      <c r="C36" s="92" t="s">
        <v>2982</v>
      </c>
      <c r="D36" s="3014" t="s">
        <v>1679</v>
      </c>
      <c r="E36" s="87">
        <f t="shared" si="33"/>
        <v>93.55</v>
      </c>
      <c r="F36" s="88"/>
      <c r="G36" s="89">
        <f t="shared" si="34"/>
        <v>302.67</v>
      </c>
      <c r="H36" s="90">
        <f t="shared" si="35"/>
        <v>0</v>
      </c>
      <c r="I36" s="92"/>
      <c r="J36" s="92"/>
      <c r="K36" s="92"/>
      <c r="L36" s="92"/>
      <c r="M36" s="92"/>
      <c r="N36" s="92"/>
      <c r="O36" s="92"/>
      <c r="P36" s="92"/>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v>302.67</v>
      </c>
      <c r="AU36" s="94"/>
      <c r="AV36" s="1978">
        <f t="shared" si="37"/>
        <v>0</v>
      </c>
      <c r="AW36" s="1978">
        <f t="shared" si="38"/>
        <v>0</v>
      </c>
      <c r="AX36" s="1978" t="str">
        <f t="shared" si="39"/>
        <v>地库疏散出入口及竖井等</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8" width="9.25" style="1984"/>
    <col min="19" max="19" width="11.875" style="1984" customWidth="1"/>
    <col min="20" max="16384" width="9.25" style="1984"/>
  </cols>
  <sheetData>
    <row r="1" spans="1:16" ht="18.75">
      <c r="A1" s="104" t="s">
        <v>202</v>
      </c>
      <c r="B1" s="1983"/>
      <c r="C1" s="1983"/>
      <c r="D1" s="1983"/>
      <c r="E1" s="1983"/>
      <c r="F1" s="1983"/>
      <c r="G1" s="1983"/>
      <c r="H1" s="1983"/>
      <c r="I1" s="1983"/>
      <c r="J1" s="1983"/>
      <c r="K1" s="1983"/>
      <c r="L1" s="1983"/>
    </row>
    <row r="2" spans="1:16" ht="15">
      <c r="A2" s="3271" t="s">
        <v>203</v>
      </c>
      <c r="B2" s="3271"/>
      <c r="C2" s="3271"/>
      <c r="D2" s="1974" t="s">
        <v>204</v>
      </c>
      <c r="E2" s="106" t="s">
        <v>205</v>
      </c>
      <c r="F2" s="1983"/>
      <c r="G2" s="1196"/>
      <c r="H2" s="1197"/>
      <c r="I2" s="1198" t="s">
        <v>857</v>
      </c>
      <c r="J2" s="1983"/>
      <c r="K2" s="1983"/>
      <c r="L2" s="1983"/>
    </row>
    <row r="3" spans="1:16" ht="15.75" thickBot="1">
      <c r="A3" s="3272" t="s">
        <v>206</v>
      </c>
      <c r="B3" s="3272"/>
      <c r="C3" s="3272"/>
      <c r="D3" s="107">
        <f>'数据-基础表'!AY6</f>
        <v>70934.91</v>
      </c>
      <c r="E3" s="107">
        <f>'数据-基础表'!AZ5</f>
        <v>229492.13999999998</v>
      </c>
      <c r="F3" s="1983"/>
      <c r="G3" s="278" t="s">
        <v>858</v>
      </c>
      <c r="H3" s="273" t="s">
        <v>859</v>
      </c>
      <c r="I3" s="1975">
        <f>ROUND('数据-基础表'!B3/'数据-基础表'!A3,2)</f>
        <v>3.24</v>
      </c>
      <c r="J3" s="1983"/>
      <c r="K3" s="1983"/>
      <c r="L3" s="1983"/>
    </row>
    <row r="4" spans="1:16" ht="15">
      <c r="A4" s="3273"/>
      <c r="B4" s="3274"/>
      <c r="C4" s="3275"/>
      <c r="D4" s="108" t="s">
        <v>204</v>
      </c>
      <c r="E4" s="109" t="s">
        <v>205</v>
      </c>
      <c r="F4" s="1983"/>
      <c r="G4" s="1199"/>
      <c r="H4" s="273" t="s">
        <v>860</v>
      </c>
      <c r="I4" s="1975">
        <f>ROUND(SUMIF('数据-基础表'!I9:AS9,"地上",'数据-基础表'!I5:AS5)/'数据-基础表'!A3,2)</f>
        <v>1.81</v>
      </c>
      <c r="J4" s="1983"/>
      <c r="K4" s="1983"/>
      <c r="L4" s="1983"/>
    </row>
    <row r="5" spans="1:16">
      <c r="A5" s="110" t="s">
        <v>207</v>
      </c>
      <c r="B5" s="3276" t="s">
        <v>230</v>
      </c>
      <c r="C5" s="3276"/>
      <c r="D5" s="111">
        <f>ROUND($D$3*E5/$E$3,2)</f>
        <v>40904.050000000003</v>
      </c>
      <c r="E5" s="112">
        <f>SUMIF('数据-基础表'!$11:$11,"住宅",'数据-基础表'!$5:$5)</f>
        <v>132334.82</v>
      </c>
      <c r="F5" s="1983"/>
      <c r="G5" s="278" t="s">
        <v>861</v>
      </c>
      <c r="H5" s="273" t="s">
        <v>859</v>
      </c>
      <c r="I5" s="1975">
        <f>ROUND(E31/D31,2)</f>
        <v>3.24</v>
      </c>
      <c r="J5" s="1983"/>
      <c r="K5" s="1983"/>
      <c r="L5" s="1983"/>
    </row>
    <row r="6" spans="1:16" ht="15" thickBot="1">
      <c r="A6" s="113"/>
      <c r="B6" s="3276" t="s">
        <v>208</v>
      </c>
      <c r="C6" s="3276"/>
      <c r="D6" s="111">
        <f>ROUND($D$3*E6/$E$3,2)</f>
        <v>30030.86</v>
      </c>
      <c r="E6" s="112">
        <f>E3-E5</f>
        <v>97157.319999999978</v>
      </c>
      <c r="F6" s="1983"/>
      <c r="G6" s="1199"/>
      <c r="H6" s="273" t="s">
        <v>860</v>
      </c>
      <c r="I6" s="1975">
        <f>ROUND(F31/D31,2)</f>
        <v>1.91</v>
      </c>
      <c r="J6" s="1983"/>
      <c r="K6" s="1983"/>
      <c r="L6" s="1983"/>
    </row>
    <row r="7" spans="1:16" ht="15">
      <c r="A7" s="3268"/>
      <c r="B7" s="3269"/>
      <c r="C7" s="3270"/>
      <c r="D7" s="108" t="s">
        <v>204</v>
      </c>
      <c r="E7" s="114" t="s">
        <v>231</v>
      </c>
      <c r="F7" s="1983"/>
      <c r="G7" s="1154" t="s">
        <v>1646</v>
      </c>
      <c r="H7" s="1155"/>
      <c r="I7" s="1845"/>
      <c r="J7" s="1983"/>
      <c r="K7" s="1983"/>
      <c r="L7" s="1983"/>
    </row>
    <row r="8" spans="1:16">
      <c r="A8" s="110" t="s">
        <v>209</v>
      </c>
      <c r="B8" s="115" t="s">
        <v>210</v>
      </c>
      <c r="C8" s="111" t="s">
        <v>211</v>
      </c>
      <c r="D8" s="111">
        <f t="shared" ref="D8:D15" si="0">ROUND($D$3*E8/$E$3,2)</f>
        <v>40904.050000000003</v>
      </c>
      <c r="E8" s="116">
        <f>SUMIF('数据-基础表'!BB10:BK10,"地上",'数据-基础表'!BB5:BK5)</f>
        <v>132334.82</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12622.22</v>
      </c>
      <c r="E12" s="116">
        <f>SUMPRODUCT(('数据-基础表'!BB10:BK10="地下")*('数据-基础表'!BB11:BK11="仓储")*('数据-基础表'!BB5:BK5))</f>
        <v>40836.03</v>
      </c>
      <c r="F12" s="1983"/>
      <c r="G12" s="1985"/>
      <c r="H12" s="1985"/>
      <c r="I12" s="1983"/>
      <c r="J12" s="1983"/>
      <c r="K12" s="1983"/>
      <c r="L12" s="1983"/>
    </row>
    <row r="13" spans="1:16">
      <c r="A13" s="117"/>
      <c r="B13" s="118"/>
      <c r="C13" s="2330" t="s">
        <v>2332</v>
      </c>
      <c r="D13" s="111">
        <f t="shared" si="0"/>
        <v>14929.35</v>
      </c>
      <c r="E13" s="116">
        <f>SUMPRODUCT(('数据-基础表'!BB10:BK10="地下")*('数据-基础表'!BB11:BK11="车库")*('数据-基础表'!BB5:BK5))</f>
        <v>48300.160000000003</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68455.62000000001</v>
      </c>
      <c r="E16" s="120">
        <f>SUM(E8:E15)</f>
        <v>221471.01</v>
      </c>
      <c r="F16" s="1983"/>
      <c r="G16" s="1985"/>
      <c r="H16" s="966" t="s">
        <v>219</v>
      </c>
      <c r="I16" s="967"/>
      <c r="J16" s="1983"/>
      <c r="K16" s="3262" t="s">
        <v>2564</v>
      </c>
      <c r="L16" s="3263"/>
      <c r="M16" s="3263"/>
      <c r="N16" s="3263"/>
      <c r="O16" s="3263"/>
      <c r="P16" s="3264"/>
    </row>
    <row r="17" spans="1:19" ht="15">
      <c r="A17" s="121" t="s">
        <v>216</v>
      </c>
      <c r="B17" s="122" t="s">
        <v>217</v>
      </c>
      <c r="C17" s="2297" t="s">
        <v>2313</v>
      </c>
      <c r="D17" s="108" t="s">
        <v>204</v>
      </c>
      <c r="E17" s="124" t="s">
        <v>205</v>
      </c>
      <c r="F17" s="125"/>
      <c r="G17" s="1364"/>
      <c r="H17" s="968" t="s">
        <v>218</v>
      </c>
      <c r="I17" s="969" t="s">
        <v>2312</v>
      </c>
      <c r="J17" s="1983"/>
      <c r="K17" s="3265" t="s">
        <v>2565</v>
      </c>
      <c r="L17" s="3266"/>
      <c r="M17" s="3267"/>
      <c r="N17" s="3265" t="s">
        <v>2566</v>
      </c>
      <c r="O17" s="3266"/>
      <c r="P17" s="3267"/>
      <c r="R17" s="2298" t="s">
        <v>2311</v>
      </c>
      <c r="S17" s="144"/>
    </row>
    <row r="18" spans="1:19" ht="15">
      <c r="A18" s="117"/>
      <c r="B18" s="128"/>
      <c r="C18" s="129"/>
      <c r="D18" s="2641"/>
      <c r="E18" s="130" t="s">
        <v>220</v>
      </c>
      <c r="F18" s="131" t="s">
        <v>221</v>
      </c>
      <c r="G18" s="1365" t="s">
        <v>222</v>
      </c>
      <c r="H18" s="970" t="s">
        <v>223</v>
      </c>
      <c r="I18" s="971" t="s">
        <v>224</v>
      </c>
      <c r="J18" s="1983"/>
      <c r="K18" s="2604" t="s">
        <v>2567</v>
      </c>
      <c r="L18" s="2605" t="s">
        <v>2568</v>
      </c>
      <c r="M18" s="2606" t="s">
        <v>2569</v>
      </c>
      <c r="N18" s="2604" t="s">
        <v>2567</v>
      </c>
      <c r="O18" s="2605" t="s">
        <v>2568</v>
      </c>
      <c r="P18" s="2606" t="s">
        <v>2569</v>
      </c>
      <c r="R18" s="2299" t="s">
        <v>2309</v>
      </c>
      <c r="S18" s="2299" t="s">
        <v>2310</v>
      </c>
    </row>
    <row r="19" spans="1:19">
      <c r="A19" s="133"/>
      <c r="B19" s="115" t="s">
        <v>225</v>
      </c>
      <c r="C19" s="3021" t="s">
        <v>3002</v>
      </c>
      <c r="D19" s="111">
        <f t="shared" ref="D19:D26" si="1">ROUND($D$3*E19/$E$3,2)</f>
        <v>40904.050000000003</v>
      </c>
      <c r="E19" s="134">
        <f t="shared" ref="E19:E26" si="2">SUM(F19:G19)</f>
        <v>132334.82</v>
      </c>
      <c r="F19" s="135">
        <f>'数据-基础表'!I5</f>
        <v>132334.82</v>
      </c>
      <c r="G19" s="1366"/>
      <c r="H19" s="972">
        <f>ROUND($D$3*I19/$E$3,2)</f>
        <v>1867.71</v>
      </c>
      <c r="I19" s="116">
        <f>IF($I$17="自定义",P19,M19)</f>
        <v>6042.51</v>
      </c>
      <c r="J19" s="1983"/>
      <c r="K19" s="2607">
        <f t="shared" ref="K19:K26" si="3">ROUND(E$28*E19/E$27,2)</f>
        <v>2937.53</v>
      </c>
      <c r="L19" s="273">
        <f t="shared" ref="L19:L26" si="4">ROUND(IF(COUNTIF(C19,"*住宅*")&gt;0,E$29*E19/E$32,0),2)</f>
        <v>3104.98</v>
      </c>
      <c r="M19" s="2608">
        <f>K19+L19</f>
        <v>6042.51</v>
      </c>
      <c r="N19" s="2609"/>
      <c r="O19" s="2610"/>
      <c r="P19" s="2611">
        <f>N19+O19</f>
        <v>0</v>
      </c>
      <c r="R19" s="273">
        <f t="shared" ref="R19:S26" si="5">D19+H19</f>
        <v>42771.76</v>
      </c>
      <c r="S19" s="2300">
        <f t="shared" si="5"/>
        <v>138377.33000000002</v>
      </c>
    </row>
    <row r="20" spans="1:19">
      <c r="A20" s="138"/>
      <c r="B20" s="115" t="s">
        <v>226</v>
      </c>
      <c r="C20" s="3021" t="s">
        <v>3003</v>
      </c>
      <c r="D20" s="111">
        <f t="shared" si="1"/>
        <v>12622.22</v>
      </c>
      <c r="E20" s="134">
        <f t="shared" si="2"/>
        <v>40836.03</v>
      </c>
      <c r="F20" s="135"/>
      <c r="G20" s="1366">
        <f>'数据-基础表'!K5</f>
        <v>40836.03</v>
      </c>
      <c r="H20" s="972">
        <f t="shared" ref="H20:H26" si="6">ROUND($D$3*I20/$E$3,2)</f>
        <v>280.19</v>
      </c>
      <c r="I20" s="116">
        <f t="shared" ref="I20:I26" si="7">IF($I$17="自定义",P20,M20)</f>
        <v>906.47</v>
      </c>
      <c r="J20" s="1983"/>
      <c r="K20" s="2607">
        <f t="shared" si="3"/>
        <v>906.47</v>
      </c>
      <c r="L20" s="273">
        <f t="shared" si="4"/>
        <v>0</v>
      </c>
      <c r="M20" s="2608">
        <f t="shared" ref="M20:M26" si="8">K20+L20</f>
        <v>906.47</v>
      </c>
      <c r="N20" s="2609"/>
      <c r="O20" s="2610"/>
      <c r="P20" s="2611">
        <f t="shared" ref="P20:P26" si="9">N20+O20</f>
        <v>0</v>
      </c>
      <c r="R20" s="273">
        <f t="shared" si="5"/>
        <v>12902.41</v>
      </c>
      <c r="S20" s="2300">
        <f t="shared" si="5"/>
        <v>41742.5</v>
      </c>
    </row>
    <row r="21" spans="1:19">
      <c r="A21" s="138"/>
      <c r="B21" s="115" t="s">
        <v>226</v>
      </c>
      <c r="C21" s="3021" t="s">
        <v>3004</v>
      </c>
      <c r="D21" s="111">
        <f t="shared" si="1"/>
        <v>14929.35</v>
      </c>
      <c r="E21" s="134">
        <f t="shared" si="2"/>
        <v>48300.160000000003</v>
      </c>
      <c r="F21" s="135"/>
      <c r="G21" s="1366">
        <f>'数据-基础表'!M5</f>
        <v>48300.160000000003</v>
      </c>
      <c r="H21" s="972">
        <f t="shared" si="6"/>
        <v>331.4</v>
      </c>
      <c r="I21" s="116">
        <f t="shared" si="7"/>
        <v>1072.1500000000001</v>
      </c>
      <c r="J21" s="1983"/>
      <c r="K21" s="2607">
        <f t="shared" si="3"/>
        <v>1072.1500000000001</v>
      </c>
      <c r="L21" s="273">
        <f t="shared" si="4"/>
        <v>0</v>
      </c>
      <c r="M21" s="2608">
        <f t="shared" si="8"/>
        <v>1072.1500000000001</v>
      </c>
      <c r="N21" s="2609"/>
      <c r="O21" s="2610"/>
      <c r="P21" s="2611">
        <f t="shared" si="9"/>
        <v>0</v>
      </c>
      <c r="R21" s="273">
        <f t="shared" si="5"/>
        <v>15260.75</v>
      </c>
      <c r="S21" s="2300">
        <f t="shared" si="5"/>
        <v>49372.310000000005</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3">
        <f t="shared" si="4"/>
        <v>0</v>
      </c>
      <c r="M22" s="2608">
        <f t="shared" si="8"/>
        <v>0</v>
      </c>
      <c r="N22" s="2609"/>
      <c r="O22" s="2610"/>
      <c r="P22" s="2611">
        <f t="shared" si="9"/>
        <v>0</v>
      </c>
      <c r="R22" s="273">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3">
        <f t="shared" si="4"/>
        <v>0</v>
      </c>
      <c r="M23" s="2608">
        <f t="shared" si="8"/>
        <v>0</v>
      </c>
      <c r="N23" s="2609"/>
      <c r="O23" s="2610"/>
      <c r="P23" s="2611">
        <f t="shared" si="9"/>
        <v>0</v>
      </c>
      <c r="R23" s="273">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3">
        <f t="shared" si="4"/>
        <v>0</v>
      </c>
      <c r="M24" s="2608">
        <f t="shared" si="8"/>
        <v>0</v>
      </c>
      <c r="N24" s="2609"/>
      <c r="O24" s="2610"/>
      <c r="P24" s="2611">
        <f t="shared" si="9"/>
        <v>0</v>
      </c>
      <c r="R24" s="273">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3">
        <f t="shared" si="4"/>
        <v>0</v>
      </c>
      <c r="M25" s="2608">
        <f t="shared" si="8"/>
        <v>0</v>
      </c>
      <c r="N25" s="2609"/>
      <c r="O25" s="2610"/>
      <c r="P25" s="2611">
        <f t="shared" si="9"/>
        <v>0</v>
      </c>
      <c r="R25" s="273">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8">
        <f t="shared" si="4"/>
        <v>0</v>
      </c>
      <c r="M26" s="146">
        <f t="shared" si="8"/>
        <v>0</v>
      </c>
      <c r="N26" s="2613"/>
      <c r="O26" s="2614"/>
      <c r="P26" s="2615">
        <f t="shared" si="9"/>
        <v>0</v>
      </c>
      <c r="R26" s="273">
        <f t="shared" si="5"/>
        <v>0</v>
      </c>
      <c r="S26" s="2300">
        <f t="shared" si="5"/>
        <v>0</v>
      </c>
    </row>
    <row r="27" spans="1:19" ht="44.25" customHeight="1" thickBot="1">
      <c r="A27" s="138"/>
      <c r="B27" s="111"/>
      <c r="C27" s="127" t="s">
        <v>215</v>
      </c>
      <c r="D27" s="134">
        <f>SUM(D19:D26)</f>
        <v>68455.62000000001</v>
      </c>
      <c r="E27" s="143">
        <f>IF(SUM(E19:E26)='数据-基础表'!BA5,SUM(E19:E26),IF(F27="地上面积有误","面积有误","地下面积有误"))</f>
        <v>221471.01</v>
      </c>
      <c r="F27" s="134">
        <f>IF(SUM(F19:F26)=E8,SUM(F19:F26),"地上面积有误")</f>
        <v>132334.82</v>
      </c>
      <c r="G27" s="112">
        <f>SUM(G19:G26)</f>
        <v>89136.19</v>
      </c>
      <c r="H27" s="973">
        <f>SUM(H19:H26)</f>
        <v>2479.3000000000002</v>
      </c>
      <c r="I27" s="974">
        <f>SUM(I19:I26)</f>
        <v>8021.130000000001</v>
      </c>
      <c r="J27" s="1983"/>
      <c r="K27" s="2616">
        <f>SUM(K19:K26)</f>
        <v>4916.1499999999996</v>
      </c>
      <c r="L27" s="2617">
        <f>SUM(L19:L26)</f>
        <v>3104.98</v>
      </c>
      <c r="M27" s="2618">
        <f>SUM(M19:M26)</f>
        <v>8021.130000000001</v>
      </c>
      <c r="N27" s="2616">
        <f t="shared" ref="N27:O27" si="10">SUM(N19:N26)</f>
        <v>0</v>
      </c>
      <c r="O27" s="2617">
        <f t="shared" si="10"/>
        <v>0</v>
      </c>
      <c r="P27" s="2619">
        <f>SUM(P19:P26)</f>
        <v>0</v>
      </c>
      <c r="R27" s="2304" t="str">
        <f>IF(SUM(R19:R26)=$D$3,SUM(R19:R26),SUM(R19:R26)&amp;"误差"&amp;ROUND(SUM(R19:R26)-$D$3,2))</f>
        <v>70934.92误差0.01</v>
      </c>
      <c r="S27" s="273">
        <f>IF(SUM(S19:S26)=$E$3,SUM(S19:S26),SUM(S19:S26)&amp;"误差"&amp;ROUND(SUM(S19:S26)-E3,2))</f>
        <v>229492.14</v>
      </c>
    </row>
    <row r="28" spans="1:19">
      <c r="A28" s="138"/>
      <c r="B28" s="115" t="s">
        <v>227</v>
      </c>
      <c r="C28" s="136" t="s">
        <v>228</v>
      </c>
      <c r="D28" s="111">
        <f>ROUND($D$3*E28/$E$3,2)</f>
        <v>1519.56</v>
      </c>
      <c r="E28" s="134">
        <f>SUM(F28:G28)</f>
        <v>4916.1499999999996</v>
      </c>
      <c r="F28" s="144">
        <f>'数据-基础表'!BQ5+'数据-基础表'!BS5</f>
        <v>0</v>
      </c>
      <c r="G28" s="145">
        <f>'数据-基础表'!BR5+'数据-基础表'!BT5</f>
        <v>4916.1499999999996</v>
      </c>
      <c r="H28" s="1983"/>
      <c r="I28" s="1983"/>
      <c r="J28" s="1983"/>
      <c r="K28" s="1983"/>
      <c r="L28" s="1983"/>
    </row>
    <row r="29" spans="1:19">
      <c r="A29" s="138"/>
      <c r="B29" s="115" t="s">
        <v>227</v>
      </c>
      <c r="C29" s="2312" t="s">
        <v>2320</v>
      </c>
      <c r="D29" s="111">
        <f>ROUND($D$3*E29/$E$3,2)</f>
        <v>959.73</v>
      </c>
      <c r="E29" s="134">
        <f>SUM(F29:G29)</f>
        <v>3104.9799999999996</v>
      </c>
      <c r="F29" s="144">
        <f>'数据-基础表'!BM5+'数据-基础表'!BO5</f>
        <v>3104.9799999999996</v>
      </c>
      <c r="G29" s="146">
        <f>'数据-基础表'!BN5+'数据-基础表'!BP5</f>
        <v>0</v>
      </c>
      <c r="H29" s="1983"/>
      <c r="I29" s="1983"/>
      <c r="J29" s="1983"/>
      <c r="K29" s="1983"/>
      <c r="L29" s="1983"/>
    </row>
    <row r="30" spans="1:19">
      <c r="A30" s="138"/>
      <c r="B30" s="111"/>
      <c r="C30" s="147" t="s">
        <v>215</v>
      </c>
      <c r="D30" s="134">
        <f>SUM(D28:D29)</f>
        <v>2479.29</v>
      </c>
      <c r="E30" s="134">
        <f>SUM(E28:E29)</f>
        <v>8021.1299999999992</v>
      </c>
      <c r="F30" s="134">
        <f>SUM(F28:F29)</f>
        <v>3104.9799999999996</v>
      </c>
      <c r="G30" s="112">
        <f>SUM(G28:G29)</f>
        <v>4916.1499999999996</v>
      </c>
      <c r="H30" s="1983"/>
      <c r="I30" s="1983"/>
      <c r="J30" s="1983"/>
      <c r="K30" s="1983"/>
      <c r="L30" s="1983"/>
    </row>
    <row r="31" spans="1:19" ht="32.25" customHeight="1" thickBot="1">
      <c r="A31" s="1368"/>
      <c r="B31" s="1369" t="s">
        <v>229</v>
      </c>
      <c r="C31" s="2329" t="s">
        <v>2322</v>
      </c>
      <c r="D31" s="1370">
        <f>D27+D30</f>
        <v>70934.91</v>
      </c>
      <c r="E31" s="1370">
        <f>E27+E30</f>
        <v>229492.14</v>
      </c>
      <c r="F31" s="1371">
        <f>F27+F30</f>
        <v>135439.80000000002</v>
      </c>
      <c r="G31" s="1372">
        <f>G27+G30</f>
        <v>94052.34</v>
      </c>
      <c r="H31" s="1983"/>
      <c r="I31" s="1983"/>
      <c r="J31" s="1983"/>
      <c r="K31" s="1983"/>
      <c r="L31" s="1983"/>
    </row>
    <row r="32" spans="1:19">
      <c r="A32" s="1983"/>
      <c r="B32" s="2362" t="s">
        <v>2321</v>
      </c>
      <c r="C32" s="2646"/>
      <c r="D32" s="1199"/>
      <c r="E32" s="1199">
        <f>SUMIF(C19:C26,"*住宅*",E19:E26)</f>
        <v>132334.82</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 sqref="B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43384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2825</v>
      </c>
      <c r="O5" s="163" t="s">
        <v>246</v>
      </c>
      <c r="P5" s="165" t="s">
        <v>247</v>
      </c>
      <c r="Q5" s="166" t="s">
        <v>248</v>
      </c>
      <c r="R5" s="167" t="s">
        <v>249</v>
      </c>
      <c r="S5" s="2620" t="s">
        <v>2570</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68723</v>
      </c>
      <c r="F6" s="174">
        <f>SUMIF(项目基本情况!D$15:I$15,C6,项目基本情况!D$19:I$19)</f>
        <v>69.42</v>
      </c>
      <c r="G6" s="175">
        <f>IF(ISERROR(ROUND(POWER(1+H6,D6-F6)*(POWER(1+H6,F6)-1)/(POWER(1+H6,D6)-1),3)),0,ROUND(POWER(1+H6,D6-F6)*(POWER(1+H6,F6)-1)/(POWER(1+H6,D6)-1),3))</f>
        <v>0.998</v>
      </c>
      <c r="H6" s="3022">
        <v>0.04</v>
      </c>
      <c r="I6" s="3022">
        <v>4.4999999999999998E-2</v>
      </c>
      <c r="J6" s="176"/>
      <c r="K6" s="179">
        <f>SUMIF('数据-汇总表'!C$19:C$33,'数据-取费表'!A6,'数据-汇总表'!E$19:E$33)</f>
        <v>132334.82</v>
      </c>
      <c r="L6" s="3023">
        <v>4000</v>
      </c>
      <c r="M6" s="177">
        <f t="shared" ref="M6:M14" si="0">ROUND(K6*L6/10000,0)</f>
        <v>52934</v>
      </c>
      <c r="N6" s="3024">
        <v>0</v>
      </c>
      <c r="O6" s="177">
        <f>IF($N$5="成新度","——",ROUND(M6*N6,0))</f>
        <v>0</v>
      </c>
      <c r="P6" s="178">
        <f>IF($N$5="成新度","——",M6-O6)</f>
        <v>52934</v>
      </c>
      <c r="Q6" s="3025">
        <v>0.08</v>
      </c>
      <c r="R6" s="179">
        <f>SUMIF('数据-汇总表'!C$19:C$33,A6,'数据-汇总表'!R$19:R$33)</f>
        <v>42771.76</v>
      </c>
      <c r="S6" s="132">
        <f>IF('数据-汇总表'!$I$17="按面积比例",SUMIF('数据-汇总表'!C$19:C$33,A6,'数据-汇总表'!K$19:K$33),SUMIF('数据-汇总表'!C$19:C$33,A6,'数据-汇总表'!N$19:N$33))</f>
        <v>2937.53</v>
      </c>
      <c r="T6" s="2233">
        <f>IF($T$4="按面积比例",IF(ISERROR(ROUND($M$14*S6/S$16,0)),"0",ROUND($M$14*S6/S$16,0)),"需自行计算录入")</f>
        <v>881</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36"/>
      <c r="AN6" s="2391"/>
      <c r="AO6" s="1999"/>
      <c r="AP6" s="1202">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仓储</v>
      </c>
      <c r="B7" s="2336" t="str">
        <f t="shared" ref="B7:B13" si="1">IF(A7=0,"","经营性")</f>
        <v>经营性</v>
      </c>
      <c r="C7" s="173" t="s">
        <v>2976</v>
      </c>
      <c r="D7" s="2307">
        <f>SUMIF(项目基本情况!D$15:I$15,C7,项目基本情况!D$18:I$18)</f>
        <v>50</v>
      </c>
      <c r="E7" s="2308">
        <f>IF(B7="","",SUMIF(项目基本情况!D$15:I$15,C7,项目基本情况!D$17:I$17))</f>
        <v>61418</v>
      </c>
      <c r="F7" s="174">
        <f>SUMIF(项目基本情况!D$15:I$15,C7,项目基本情况!D$19:I$19)</f>
        <v>49.4</v>
      </c>
      <c r="G7" s="175">
        <f t="shared" ref="G7:G11" si="2">IF(ISERROR(ROUND(POWER(1+H7,D7-F7)*(POWER(1+H7,F7)-1)/(POWER(1+H7,D7)-1),3)),0,ROUND(POWER(1+H7,D7-F7)*(POWER(1+H7,F7)-1)/(POWER(1+H7,D7)-1),3))</f>
        <v>0.997</v>
      </c>
      <c r="H7" s="3022">
        <v>4.4999999999999998E-2</v>
      </c>
      <c r="I7" s="3022">
        <v>0.05</v>
      </c>
      <c r="J7" s="176"/>
      <c r="K7" s="179">
        <f>SUMIF('数据-汇总表'!C$19:C$33,'数据-取费表'!A7,'数据-汇总表'!E$19:E$33)</f>
        <v>40836.03</v>
      </c>
      <c r="L7" s="3023">
        <v>3000</v>
      </c>
      <c r="M7" s="177">
        <f t="shared" si="0"/>
        <v>12251</v>
      </c>
      <c r="N7" s="3024">
        <f>N6</f>
        <v>0</v>
      </c>
      <c r="O7" s="177">
        <f t="shared" ref="O7:O14" si="3">IF($N$5="成新度","——",ROUND(M7*N7,0))</f>
        <v>0</v>
      </c>
      <c r="P7" s="178">
        <f t="shared" ref="P7:P14" si="4">IF($N$5="成新度","——",M7-O7)</f>
        <v>12251</v>
      </c>
      <c r="Q7" s="3025">
        <v>0.03</v>
      </c>
      <c r="R7" s="179">
        <f>SUMIF('数据-汇总表'!C$19:C$33,A7,'数据-汇总表'!R$19:R$33)</f>
        <v>12902.41</v>
      </c>
      <c r="S7" s="132">
        <f>IF('数据-汇总表'!$I$17="按面积比例",SUMIF('数据-汇总表'!C$19:C$33,A7,'数据-汇总表'!K$19:K$33),SUMIF('数据-汇总表'!C$19:C$33,A7,'数据-汇总表'!N$19:N$33))</f>
        <v>906.47</v>
      </c>
      <c r="T7" s="2233">
        <f t="shared" ref="T7:T13" si="5">IF($T$4="按面积比例",IF(ISERROR(ROUND($M$14*S7/S$16,0)),"0",ROUND($M$14*S7/S$16,0)),"需自行计算录入")</f>
        <v>272</v>
      </c>
      <c r="U7" s="180">
        <v>2.5</v>
      </c>
      <c r="V7" s="181">
        <v>0.02</v>
      </c>
      <c r="W7" s="181">
        <v>0.1</v>
      </c>
      <c r="X7" s="2320"/>
      <c r="Y7" s="182">
        <v>1</v>
      </c>
      <c r="Z7" s="183"/>
      <c r="AA7" s="176"/>
      <c r="AB7" s="176"/>
      <c r="AC7" s="2323"/>
      <c r="AD7" s="184"/>
      <c r="AE7" s="970">
        <f t="shared" ref="AE7:AE13" ca="1" si="6">IF(AN7="",0,SUMIF(INDIRECT("'"&amp;AN7&amp;"'"&amp;"!E:E"),$AE$5,INDIRECT("'"&amp;AN7&amp;"'"&amp;"!F:F")))</f>
        <v>47.4</v>
      </c>
      <c r="AF7" s="141"/>
      <c r="AG7" s="1211">
        <f t="shared" ref="AG7:AG13" si="7">IF(AF7="",0,AE7-AF7)</f>
        <v>0</v>
      </c>
      <c r="AH7" s="141"/>
      <c r="AI7" s="187">
        <v>365</v>
      </c>
      <c r="AJ7" s="188"/>
      <c r="AK7" s="189">
        <v>5.0000000000000001E-3</v>
      </c>
      <c r="AL7" s="190">
        <v>1E-3</v>
      </c>
      <c r="AM7" s="2389">
        <v>0.01</v>
      </c>
      <c r="AN7" s="2391" t="s">
        <v>3199</v>
      </c>
      <c r="AO7" s="1999"/>
      <c r="AP7" s="1202">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3" t="s">
        <v>2981</v>
      </c>
      <c r="D8" s="2307">
        <f>SUMIF(项目基本情况!D$15:I$15,C8,项目基本情况!D$18:I$18)</f>
        <v>50</v>
      </c>
      <c r="E8" s="2308">
        <f>IF(B8="","",SUMIF(项目基本情况!D$15:I$15,C8,项目基本情况!D$17:I$17))</f>
        <v>61418</v>
      </c>
      <c r="F8" s="174">
        <f>SUMIF(项目基本情况!D$15:I$15,C8,项目基本情况!D$19:I$19)</f>
        <v>49.4</v>
      </c>
      <c r="G8" s="175">
        <f t="shared" si="2"/>
        <v>0.997</v>
      </c>
      <c r="H8" s="3022">
        <f>H7</f>
        <v>4.4999999999999998E-2</v>
      </c>
      <c r="I8" s="3022">
        <f>I7</f>
        <v>0.05</v>
      </c>
      <c r="J8" s="176"/>
      <c r="K8" s="179">
        <f>SUMIF('数据-汇总表'!C$19:C$33,'数据-取费表'!A8,'数据-汇总表'!E$19:E$33)</f>
        <v>48300.160000000003</v>
      </c>
      <c r="L8" s="3023">
        <f>L7</f>
        <v>3000</v>
      </c>
      <c r="M8" s="177">
        <f>ROUND(K8*L8/10000,0)</f>
        <v>14490</v>
      </c>
      <c r="N8" s="3024">
        <f>N6</f>
        <v>0</v>
      </c>
      <c r="O8" s="177">
        <f t="shared" si="3"/>
        <v>0</v>
      </c>
      <c r="P8" s="178">
        <f t="shared" si="4"/>
        <v>14490</v>
      </c>
      <c r="Q8" s="3025">
        <v>0.03</v>
      </c>
      <c r="R8" s="179">
        <f>SUMIF('数据-汇总表'!C$19:C$33,A8,'数据-汇总表'!R$19:R$33)</f>
        <v>15260.75</v>
      </c>
      <c r="S8" s="132">
        <f>IF('数据-汇总表'!$I$17="按面积比例",SUMIF('数据-汇总表'!C$19:C$33,A8,'数据-汇总表'!K$19:K$33),SUMIF('数据-汇总表'!C$19:C$33,A8,'数据-汇总表'!N$19:N$33))</f>
        <v>1072.1500000000001</v>
      </c>
      <c r="T8" s="2233">
        <f t="shared" si="5"/>
        <v>322</v>
      </c>
      <c r="U8" s="180"/>
      <c r="V8" s="181"/>
      <c r="W8" s="181"/>
      <c r="X8" s="2320"/>
      <c r="Y8" s="182"/>
      <c r="Z8" s="183"/>
      <c r="AA8" s="176"/>
      <c r="AB8" s="176"/>
      <c r="AC8" s="2323"/>
      <c r="AD8" s="184"/>
      <c r="AE8" s="970">
        <f t="shared" ca="1" si="6"/>
        <v>0</v>
      </c>
      <c r="AF8" s="141"/>
      <c r="AG8" s="1211">
        <f t="shared" si="7"/>
        <v>0</v>
      </c>
      <c r="AH8" s="141">
        <v>1341</v>
      </c>
      <c r="AI8" s="187"/>
      <c r="AJ8" s="188"/>
      <c r="AK8" s="189"/>
      <c r="AL8" s="190"/>
      <c r="AM8" s="2389"/>
      <c r="AN8" s="2391"/>
      <c r="AO8" s="1999"/>
      <c r="AP8" s="1202">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2314</v>
      </c>
      <c r="B14" s="2305" t="s">
        <v>1680</v>
      </c>
      <c r="C14" s="2306" t="s">
        <v>2314</v>
      </c>
      <c r="D14" s="2307"/>
      <c r="E14" s="2308"/>
      <c r="F14" s="174"/>
      <c r="G14" s="175"/>
      <c r="H14" s="2309"/>
      <c r="I14" s="2309"/>
      <c r="J14" s="2309"/>
      <c r="K14" s="179">
        <f>SUMIF('数据-汇总表'!C$19:C$33,'数据-取费表'!A14,'数据-汇总表'!E$19:E$33)</f>
        <v>4916.1499999999996</v>
      </c>
      <c r="L14" s="193">
        <f>L8</f>
        <v>3000</v>
      </c>
      <c r="M14" s="177">
        <f t="shared" si="0"/>
        <v>1475</v>
      </c>
      <c r="N14" s="194">
        <f>N6</f>
        <v>0</v>
      </c>
      <c r="O14" s="177">
        <f t="shared" si="3"/>
        <v>0</v>
      </c>
      <c r="P14" s="178">
        <f t="shared" si="4"/>
        <v>1475</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2316</v>
      </c>
      <c r="B15" s="2305" t="s">
        <v>1680</v>
      </c>
      <c r="C15" s="2306" t="s">
        <v>2315</v>
      </c>
      <c r="D15" s="2307"/>
      <c r="E15" s="2308"/>
      <c r="F15" s="174"/>
      <c r="G15" s="175"/>
      <c r="H15" s="2309"/>
      <c r="I15" s="2309"/>
      <c r="J15" s="2309"/>
      <c r="K15" s="179">
        <f>SUMIF('数据-汇总表'!C$19:C$33,'数据-取费表'!A15,'数据-汇总表'!E$19:E$33)</f>
        <v>3104.9799999999996</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0.998</v>
      </c>
      <c r="H16" s="203">
        <f>ROUND(SUMPRODUCT(H6:H13,K6:K13)/SUMPRODUCT((H6:H13&gt;0)*(K6:K13)),3)</f>
        <v>4.2000000000000003E-2</v>
      </c>
      <c r="I16" s="204"/>
      <c r="J16" s="204"/>
      <c r="K16" s="205">
        <f>SUM(K6:K15)</f>
        <v>229492.14</v>
      </c>
      <c r="L16" s="206">
        <f>ROUND(M16*10000/SUM(K6:K14),0)</f>
        <v>3585</v>
      </c>
      <c r="M16" s="206">
        <f>SUM(M6:M14)</f>
        <v>81150</v>
      </c>
      <c r="N16" s="207">
        <f>ROUND(SUMPRODUCT(M6:M14,N6:N14)/M16,3)</f>
        <v>0</v>
      </c>
      <c r="O16" s="206">
        <f>SUM(O6:O14)</f>
        <v>0</v>
      </c>
      <c r="P16" s="206">
        <f>SUM(P6:P14)</f>
        <v>81150</v>
      </c>
      <c r="Q16" s="208">
        <f>ROUND(SUMPRODUCT(Q6:Q13,K6:K13)/SUMPRODUCT((Q6:Q13&gt;0)*(K6:K13)),2)</f>
        <v>0.06</v>
      </c>
      <c r="R16" s="2310">
        <f>SUM(R6:R13)</f>
        <v>70934.92</v>
      </c>
      <c r="S16" s="209">
        <f>SUM(S6:S13)</f>
        <v>4916.1499999999996</v>
      </c>
      <c r="T16" s="210">
        <f>IF(SUMIF(T6:T13,"&lt;9E307")=M14,SUMIF(T6:T13,"&lt;9E307"),"有误，请检查")</f>
        <v>1475</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0.91500000000000004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2336</v>
      </c>
      <c r="B27" s="3176">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2337</v>
      </c>
      <c r="B28" s="317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2335</v>
      </c>
      <c r="B29" s="231">
        <v>0</v>
      </c>
      <c r="C29" s="1551"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2888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2890</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9">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3178" t="s">
        <v>1408</v>
      </c>
      <c r="C53" s="3073" t="s">
        <v>2898</v>
      </c>
      <c r="D53" s="3074"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2900</v>
      </c>
      <c r="B54" s="186"/>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2901</v>
      </c>
      <c r="B55" s="186"/>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2902</v>
      </c>
      <c r="B56" s="186"/>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2903</v>
      </c>
      <c r="B57" s="186"/>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2904</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2905</v>
      </c>
      <c r="B59" s="186"/>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2909</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7" t="s">
        <v>1664</v>
      </c>
      <c r="B1" s="3278"/>
      <c r="C1" s="3278"/>
      <c r="D1" s="3278"/>
      <c r="E1" s="3278"/>
      <c r="F1" s="3278"/>
      <c r="G1" s="3278"/>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27">
      <c r="A3" s="1225" t="s">
        <v>1667</v>
      </c>
      <c r="B3" s="1226" t="s">
        <v>1654</v>
      </c>
      <c r="C3" s="3179" t="s">
        <v>3026</v>
      </c>
      <c r="D3" s="2008"/>
      <c r="E3" s="1227" t="s">
        <v>1667</v>
      </c>
      <c r="F3" s="1228" t="s">
        <v>1655</v>
      </c>
      <c r="G3" s="3081"/>
      <c r="H3" s="2007"/>
      <c r="I3" s="2007"/>
      <c r="J3" s="2007"/>
      <c r="K3" s="2007"/>
      <c r="L3" s="2007"/>
      <c r="M3" s="2007"/>
      <c r="N3" s="2007"/>
      <c r="O3" s="2007"/>
      <c r="P3" s="2007"/>
      <c r="Q3" s="2007"/>
      <c r="R3" s="2007"/>
    </row>
    <row r="4" spans="1:18" ht="14.25">
      <c r="A4" s="1227"/>
      <c r="B4" s="1229" t="s">
        <v>1668</v>
      </c>
      <c r="C4" s="3180"/>
      <c r="D4" s="2008"/>
      <c r="E4" s="1230"/>
      <c r="F4" s="1231" t="s">
        <v>1669</v>
      </c>
      <c r="G4" s="3079"/>
      <c r="H4" s="2007"/>
      <c r="I4" s="2007"/>
      <c r="J4" s="2007"/>
      <c r="K4" s="2007"/>
      <c r="L4" s="2007"/>
      <c r="M4" s="2007"/>
      <c r="N4" s="2007"/>
      <c r="O4" s="2007"/>
      <c r="P4" s="2007"/>
      <c r="Q4" s="2007"/>
      <c r="R4" s="2007"/>
    </row>
    <row r="5" spans="1:18" ht="14.25">
      <c r="A5" s="1227"/>
      <c r="B5" s="1229" t="s">
        <v>1670</v>
      </c>
      <c r="C5" s="3078"/>
      <c r="D5" s="2008"/>
      <c r="E5" s="1230"/>
      <c r="F5" s="1229" t="s">
        <v>2544</v>
      </c>
      <c r="G5" s="3079"/>
      <c r="H5" s="2007"/>
      <c r="I5" s="2007"/>
      <c r="J5" s="2007"/>
      <c r="K5" s="2007"/>
      <c r="L5" s="2007"/>
      <c r="M5" s="2007"/>
      <c r="N5" s="2007"/>
      <c r="O5" s="2007"/>
      <c r="P5" s="2007"/>
      <c r="Q5" s="2007"/>
      <c r="R5" s="2007"/>
    </row>
    <row r="6" spans="1:18" ht="14.25">
      <c r="A6" s="1227"/>
      <c r="B6" s="1229" t="s">
        <v>1656</v>
      </c>
      <c r="C6" s="3181" t="s">
        <v>3168</v>
      </c>
      <c r="D6" s="2008"/>
      <c r="E6" s="1230"/>
      <c r="F6" s="1229" t="s">
        <v>2545</v>
      </c>
      <c r="G6" s="3079"/>
      <c r="H6" s="2007"/>
      <c r="I6" s="2007"/>
      <c r="J6" s="2007"/>
      <c r="K6" s="2007"/>
      <c r="L6" s="2007"/>
      <c r="M6" s="2007"/>
      <c r="N6" s="2007"/>
      <c r="O6" s="2007"/>
      <c r="P6" s="2007"/>
      <c r="Q6" s="2007"/>
      <c r="R6" s="2007"/>
    </row>
    <row r="7" spans="1:18" ht="15" thickBot="1">
      <c r="A7" s="1227"/>
      <c r="B7" s="1229" t="s">
        <v>2544</v>
      </c>
      <c r="C7" s="3181" t="s">
        <v>3168</v>
      </c>
      <c r="D7" s="2009"/>
      <c r="E7" s="1232"/>
      <c r="F7" s="1233" t="s">
        <v>1671</v>
      </c>
      <c r="G7" s="3082"/>
      <c r="H7" s="2007"/>
      <c r="I7" s="2007"/>
      <c r="J7" s="2007"/>
      <c r="K7" s="2007"/>
      <c r="L7" s="2007"/>
      <c r="M7" s="2007"/>
      <c r="N7" s="2007"/>
      <c r="O7" s="2007"/>
      <c r="P7" s="2007"/>
      <c r="Q7" s="2007"/>
      <c r="R7" s="2007"/>
    </row>
    <row r="8" spans="1:18">
      <c r="A8" s="1227"/>
      <c r="B8" s="1229" t="s">
        <v>2545</v>
      </c>
      <c r="C8" s="3181" t="s">
        <v>3025</v>
      </c>
      <c r="D8" s="2009"/>
      <c r="E8" s="2009"/>
      <c r="F8" s="1552"/>
      <c r="G8" s="1552"/>
      <c r="H8" s="2007"/>
      <c r="I8" s="2007"/>
      <c r="J8" s="2007"/>
      <c r="K8" s="2007"/>
      <c r="L8" s="2007"/>
      <c r="M8" s="2007"/>
      <c r="N8" s="2007"/>
      <c r="O8" s="2007"/>
      <c r="P8" s="2007"/>
      <c r="Q8" s="2007"/>
      <c r="R8" s="2007"/>
    </row>
    <row r="9" spans="1:18">
      <c r="A9" s="1227"/>
      <c r="B9" s="1229" t="s">
        <v>1657</v>
      </c>
      <c r="C9" s="3180" t="s">
        <v>3026</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080"/>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2"/>
      <c r="E13" s="2577"/>
      <c r="F13" s="2577"/>
      <c r="G13" s="2577"/>
    </row>
    <row r="14" spans="1:18" ht="14.25" thickBot="1">
      <c r="A14" s="1236"/>
      <c r="B14" s="1237"/>
      <c r="C14" s="1238" t="s">
        <v>1665</v>
      </c>
      <c r="D14" s="2008"/>
      <c r="E14" s="1239"/>
      <c r="F14" s="1239"/>
      <c r="G14" s="1221" t="s">
        <v>1666</v>
      </c>
    </row>
    <row r="15" spans="1:18" ht="27">
      <c r="A15" s="2587" t="s">
        <v>1658</v>
      </c>
      <c r="B15" s="1240" t="s">
        <v>1654</v>
      </c>
      <c r="C15" s="1241" t="str">
        <f>C3</f>
        <v>一般</v>
      </c>
      <c r="D15" s="2008"/>
      <c r="E15" s="2584" t="s">
        <v>1659</v>
      </c>
      <c r="F15" s="1240" t="s">
        <v>1674</v>
      </c>
      <c r="G15" s="1242">
        <f>G3</f>
        <v>0</v>
      </c>
    </row>
    <row r="16" spans="1:18">
      <c r="A16" s="2588"/>
      <c r="B16" s="1243" t="s">
        <v>1668</v>
      </c>
      <c r="C16" s="1244">
        <f>C4</f>
        <v>0</v>
      </c>
      <c r="D16" s="2008"/>
      <c r="E16" s="2585"/>
      <c r="F16" s="1245" t="s">
        <v>1669</v>
      </c>
      <c r="G16" s="1003">
        <f>G4</f>
        <v>0</v>
      </c>
    </row>
    <row r="17" spans="1:7" ht="14.25">
      <c r="A17" s="2588"/>
      <c r="B17" s="1243" t="s">
        <v>1670</v>
      </c>
      <c r="C17" s="1244">
        <f>C5</f>
        <v>0</v>
      </c>
      <c r="D17" s="2009"/>
      <c r="E17" s="2585"/>
      <c r="F17" s="1245" t="s">
        <v>1675</v>
      </c>
      <c r="G17" s="2793"/>
    </row>
    <row r="18" spans="1:7">
      <c r="A18" s="2588"/>
      <c r="B18" s="1245" t="s">
        <v>1656</v>
      </c>
      <c r="C18" s="1003" t="str">
        <f>C6</f>
        <v>一般</v>
      </c>
      <c r="D18" s="2009"/>
      <c r="E18" s="2585"/>
      <c r="F18" s="1245" t="s">
        <v>1671</v>
      </c>
      <c r="G18" s="1003">
        <f>G7</f>
        <v>0</v>
      </c>
    </row>
    <row r="19" spans="1:7">
      <c r="A19" s="2588"/>
      <c r="B19" s="1245" t="s">
        <v>1660</v>
      </c>
      <c r="C19" s="3182" t="s">
        <v>3027</v>
      </c>
      <c r="D19" s="2008"/>
      <c r="E19" s="2585"/>
      <c r="F19" s="1229" t="s">
        <v>2544</v>
      </c>
      <c r="G19" s="1003">
        <f>G5</f>
        <v>0</v>
      </c>
    </row>
    <row r="20" spans="1:7">
      <c r="A20" s="2588"/>
      <c r="B20" s="1245" t="s">
        <v>1661</v>
      </c>
      <c r="C20" s="1244" t="str">
        <f>C9</f>
        <v>一般</v>
      </c>
      <c r="D20" s="2009"/>
      <c r="E20" s="2585"/>
      <c r="F20" s="1229" t="s">
        <v>2545</v>
      </c>
      <c r="G20" s="1003">
        <f>G6</f>
        <v>0</v>
      </c>
    </row>
    <row r="21" spans="1:7" ht="14.25">
      <c r="A21" s="2588"/>
      <c r="B21" s="1229" t="s">
        <v>2544</v>
      </c>
      <c r="C21" s="1003" t="str">
        <f>C7</f>
        <v>一般</v>
      </c>
      <c r="D21" s="2008"/>
      <c r="E21" s="2585"/>
      <c r="F21" s="1245" t="s">
        <v>1662</v>
      </c>
      <c r="G21" s="3083"/>
    </row>
    <row r="22" spans="1:7" ht="14.25">
      <c r="A22" s="2588"/>
      <c r="B22" s="1229" t="s">
        <v>2545</v>
      </c>
      <c r="C22" s="1003" t="str">
        <f>C8</f>
        <v>七通</v>
      </c>
      <c r="D22" s="2008"/>
      <c r="E22" s="2585"/>
      <c r="F22" s="1245" t="s">
        <v>1672</v>
      </c>
      <c r="G22" s="2793"/>
    </row>
    <row r="23" spans="1:7" ht="15" thickBot="1">
      <c r="A23" s="2588"/>
      <c r="B23" s="1245" t="s">
        <v>1662</v>
      </c>
      <c r="C23" s="3083"/>
      <c r="E23" s="2586"/>
      <c r="F23" s="1246" t="s">
        <v>1676</v>
      </c>
      <c r="G23" s="3084"/>
    </row>
    <row r="24" spans="1:7" ht="14.25" thickBot="1">
      <c r="A24" s="2589"/>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2" t="s">
        <v>2841</v>
      </c>
      <c r="B1" s="3042">
        <f>SUM(B14:B23)</f>
        <v>229492.13999999998</v>
      </c>
      <c r="C1" s="3043"/>
      <c r="D1" s="3043"/>
      <c r="E1" s="3043"/>
      <c r="F1" s="3043"/>
    </row>
    <row r="2" spans="1:9" ht="16.5">
      <c r="A2" s="3042" t="s">
        <v>2842</v>
      </c>
      <c r="B2" s="3042">
        <f>SUM(C14:C23)</f>
        <v>70934.91</v>
      </c>
      <c r="C2" s="3043"/>
      <c r="D2" s="3043"/>
      <c r="E2" s="3043"/>
      <c r="F2" s="3043"/>
    </row>
    <row r="3" spans="1:9" ht="16.5">
      <c r="A3" s="3042" t="s">
        <v>2843</v>
      </c>
      <c r="B3" s="3044">
        <f>项目基本情况!D3</f>
        <v>43384</v>
      </c>
      <c r="C3" s="3043"/>
      <c r="D3" s="3043"/>
      <c r="E3" s="3043"/>
      <c r="F3" s="3043"/>
    </row>
    <row r="4" spans="1:9" ht="33">
      <c r="A4" s="3042" t="s">
        <v>2844</v>
      </c>
      <c r="B4" s="3042" t="s">
        <v>2845</v>
      </c>
      <c r="C4" s="3042" t="s">
        <v>2846</v>
      </c>
      <c r="D4" s="3042" t="s">
        <v>2847</v>
      </c>
      <c r="E4" s="3043"/>
      <c r="F4" s="3043"/>
    </row>
    <row r="5" spans="1:9" ht="16.5">
      <c r="A5" s="3042" t="s">
        <v>2848</v>
      </c>
      <c r="B5" s="3042">
        <f ca="1">SUM(D14:D23)</f>
        <v>552493</v>
      </c>
      <c r="C5" s="3042">
        <f ca="1">ROUND(B5*10000/$B$1,0)</f>
        <v>24075</v>
      </c>
      <c r="D5" s="3042">
        <f ca="1">ROUND(B5*10000/$B$2,0)</f>
        <v>77887</v>
      </c>
      <c r="E5" s="3043"/>
      <c r="F5" s="3043"/>
    </row>
    <row r="6" spans="1:9" ht="16.5">
      <c r="A6" s="3042" t="s">
        <v>2849</v>
      </c>
      <c r="B6" s="3042">
        <f ca="1">SUM(G14:G23)</f>
        <v>552493</v>
      </c>
      <c r="C6" s="3042">
        <f t="shared" ref="C6:C8" ca="1" si="0">ROUND(B6*10000/$B$1,0)</f>
        <v>24075</v>
      </c>
      <c r="D6" s="3042">
        <f t="shared" ref="D6:D8" ca="1" si="1">ROUND(B6*10000/$B$2,0)</f>
        <v>77887</v>
      </c>
      <c r="E6" s="3043"/>
      <c r="F6" s="3043"/>
    </row>
    <row r="7" spans="1:9" ht="16.5">
      <c r="A7" s="3042" t="s">
        <v>2850</v>
      </c>
      <c r="B7" s="3042">
        <f>SUM(H14:H23)</f>
        <v>0</v>
      </c>
      <c r="C7" s="3042">
        <f t="shared" si="0"/>
        <v>0</v>
      </c>
      <c r="D7" s="3042">
        <f t="shared" si="1"/>
        <v>0</v>
      </c>
      <c r="E7" s="3043"/>
      <c r="F7" s="3043"/>
    </row>
    <row r="8" spans="1:9" ht="16.5">
      <c r="A8" s="3042" t="s">
        <v>2851</v>
      </c>
      <c r="B8" s="3042">
        <f>SUM(I14:I23)</f>
        <v>0</v>
      </c>
      <c r="C8" s="3042">
        <f t="shared" si="0"/>
        <v>0</v>
      </c>
      <c r="D8" s="3042">
        <f t="shared" si="1"/>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229492.13999999998</v>
      </c>
      <c r="C14" s="3046">
        <f>结果表!K38</f>
        <v>70934.91</v>
      </c>
      <c r="D14" s="3046">
        <f ca="1">结果表!C42</f>
        <v>552493</v>
      </c>
      <c r="E14" s="3046">
        <f ca="1">ROUND(D14*10000/B14,0)</f>
        <v>24075</v>
      </c>
      <c r="F14" s="3046">
        <f ca="1">ROUND(D14*10000/C14,0)</f>
        <v>77887</v>
      </c>
      <c r="G14" s="3046">
        <f ca="1">结果表!C44</f>
        <v>552493</v>
      </c>
      <c r="H14" s="3046" t="str">
        <f>结果表!C45</f>
        <v>——</v>
      </c>
      <c r="I14" s="3046" t="str">
        <f>结果表!C46</f>
        <v>——</v>
      </c>
    </row>
    <row r="15" spans="1:9" ht="16.5">
      <c r="A15" s="3049" t="s">
        <v>2858</v>
      </c>
      <c r="B15" s="3050"/>
      <c r="C15" s="3050"/>
      <c r="D15" s="3050"/>
      <c r="E15" s="3046" t="e">
        <f t="shared" ref="E15:E23" si="2">ROUND(D15*10000/B15,0)</f>
        <v>#DIV/0!</v>
      </c>
      <c r="F15" s="3046" t="e">
        <f t="shared" ref="F15:F23" si="3">ROUND(D15*10000/C15,0)</f>
        <v>#DIV/0!</v>
      </c>
      <c r="G15" s="3047"/>
      <c r="H15" s="3047"/>
      <c r="I15" s="3050"/>
    </row>
    <row r="16" spans="1:9" ht="16.5">
      <c r="A16" s="3049" t="s">
        <v>2859</v>
      </c>
      <c r="B16" s="3050"/>
      <c r="C16" s="3050"/>
      <c r="D16" s="3050"/>
      <c r="E16" s="3046" t="e">
        <f t="shared" si="2"/>
        <v>#DIV/0!</v>
      </c>
      <c r="F16" s="3046" t="e">
        <f t="shared" si="3"/>
        <v>#DIV/0!</v>
      </c>
      <c r="G16" s="3047"/>
      <c r="H16" s="3047"/>
      <c r="I16" s="3050"/>
    </row>
    <row r="17" spans="1:9" ht="16.5">
      <c r="A17" s="3049" t="s">
        <v>2860</v>
      </c>
      <c r="B17" s="3050"/>
      <c r="C17" s="3050"/>
      <c r="D17" s="3050"/>
      <c r="E17" s="3046" t="e">
        <f t="shared" si="2"/>
        <v>#DIV/0!</v>
      </c>
      <c r="F17" s="3046" t="e">
        <f t="shared" si="3"/>
        <v>#DIV/0!</v>
      </c>
      <c r="G17" s="3047"/>
      <c r="H17" s="3047"/>
      <c r="I17" s="3050"/>
    </row>
    <row r="18" spans="1:9" ht="16.5">
      <c r="A18" s="3049" t="s">
        <v>2861</v>
      </c>
      <c r="B18" s="3050"/>
      <c r="C18" s="3050"/>
      <c r="D18" s="3050"/>
      <c r="E18" s="3046" t="e">
        <f t="shared" si="2"/>
        <v>#DIV/0!</v>
      </c>
      <c r="F18" s="3046" t="e">
        <f t="shared" si="3"/>
        <v>#DIV/0!</v>
      </c>
      <c r="G18" s="3050"/>
      <c r="H18" s="3050"/>
      <c r="I18" s="3050"/>
    </row>
    <row r="19" spans="1:9" ht="16.5">
      <c r="A19" s="3049" t="s">
        <v>2862</v>
      </c>
      <c r="B19" s="3050"/>
      <c r="C19" s="3050"/>
      <c r="D19" s="3050"/>
      <c r="E19" s="3046" t="e">
        <f t="shared" si="2"/>
        <v>#DIV/0!</v>
      </c>
      <c r="F19" s="3046" t="e">
        <f t="shared" si="3"/>
        <v>#DIV/0!</v>
      </c>
      <c r="G19" s="3050"/>
      <c r="H19" s="3050"/>
      <c r="I19" s="3050"/>
    </row>
    <row r="20" spans="1:9" ht="16.5">
      <c r="A20" s="3049" t="s">
        <v>2863</v>
      </c>
      <c r="B20" s="3050"/>
      <c r="C20" s="3050"/>
      <c r="D20" s="3050"/>
      <c r="E20" s="3046" t="e">
        <f t="shared" si="2"/>
        <v>#DIV/0!</v>
      </c>
      <c r="F20" s="3046" t="e">
        <f t="shared" si="3"/>
        <v>#DIV/0!</v>
      </c>
      <c r="G20" s="3050"/>
      <c r="H20" s="3050"/>
      <c r="I20" s="3050"/>
    </row>
    <row r="21" spans="1:9" ht="16.5">
      <c r="A21" s="3049" t="s">
        <v>2864</v>
      </c>
      <c r="B21" s="3050"/>
      <c r="C21" s="3050"/>
      <c r="D21" s="3050"/>
      <c r="E21" s="3046" t="e">
        <f t="shared" si="2"/>
        <v>#DIV/0!</v>
      </c>
      <c r="F21" s="3046" t="e">
        <f t="shared" si="3"/>
        <v>#DIV/0!</v>
      </c>
      <c r="G21" s="3050"/>
      <c r="H21" s="3050"/>
      <c r="I21" s="3050"/>
    </row>
    <row r="22" spans="1:9" ht="16.5">
      <c r="A22" s="3049" t="s">
        <v>2865</v>
      </c>
      <c r="B22" s="3050"/>
      <c r="C22" s="3050"/>
      <c r="D22" s="3050"/>
      <c r="E22" s="3046" t="e">
        <f t="shared" si="2"/>
        <v>#DIV/0!</v>
      </c>
      <c r="F22" s="3046" t="e">
        <f t="shared" si="3"/>
        <v>#DIV/0!</v>
      </c>
      <c r="G22" s="3050"/>
      <c r="H22" s="3050"/>
      <c r="I22" s="3050"/>
    </row>
    <row r="23" spans="1:9" ht="16.5">
      <c r="A23" s="3049" t="s">
        <v>2866</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3" sqref="C33"/>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2055</v>
      </c>
      <c r="B1" s="1776"/>
      <c r="C1" s="1804" t="s">
        <v>2056</v>
      </c>
      <c r="D1" s="1805" t="s">
        <v>3193</v>
      </c>
      <c r="E1" s="1804" t="s">
        <v>2057</v>
      </c>
      <c r="F1" s="1806" t="s">
        <v>3194</v>
      </c>
      <c r="G1" s="309"/>
      <c r="H1" s="309"/>
      <c r="I1" s="309"/>
      <c r="J1" s="2028"/>
      <c r="K1" s="2028"/>
      <c r="L1" s="2028"/>
      <c r="M1" s="2028"/>
      <c r="N1" s="2028"/>
      <c r="O1" s="2028"/>
      <c r="P1" s="2028"/>
      <c r="Q1" s="2028"/>
      <c r="R1" s="2028"/>
      <c r="S1" s="2028"/>
      <c r="T1" s="2028"/>
      <c r="U1" s="2028"/>
      <c r="V1" s="2028"/>
    </row>
    <row r="2" spans="1:22" ht="21.75" customHeight="1" thickBot="1">
      <c r="A2" s="3315" t="str">
        <f>项目基本情况!K2</f>
        <v>北京市海淀区“海淀北部地区整体开发”翠湖科技园HD00-0303-6022地块R2二类居住用地出让国有建设用地使用权</v>
      </c>
      <c r="B2" s="3316"/>
      <c r="C2" s="3317"/>
      <c r="D2" s="3317"/>
      <c r="E2" s="3317"/>
      <c r="F2" s="3317"/>
      <c r="G2" s="3316"/>
      <c r="H2" s="3316"/>
      <c r="I2" s="3318"/>
      <c r="J2" s="2029"/>
      <c r="K2" s="2028"/>
      <c r="L2" s="2028"/>
      <c r="M2" s="2028"/>
      <c r="N2" s="2028"/>
      <c r="O2" s="2028"/>
      <c r="P2" s="2028"/>
      <c r="Q2" s="2028"/>
      <c r="R2" s="2028"/>
      <c r="S2" s="2028"/>
      <c r="T2" s="2028"/>
      <c r="U2" s="2028"/>
      <c r="V2" s="2028"/>
    </row>
    <row r="3" spans="1:22" ht="14.25">
      <c r="A3" s="3308" t="s">
        <v>298</v>
      </c>
      <c r="B3" s="3309"/>
      <c r="C3" s="3309"/>
      <c r="D3" s="3309"/>
      <c r="E3" s="3309"/>
      <c r="F3" s="3309"/>
      <c r="G3" s="3309"/>
      <c r="H3" s="3309"/>
      <c r="I3" s="3309"/>
      <c r="J3" s="2029"/>
      <c r="K3" s="2028"/>
      <c r="L3" s="2028"/>
      <c r="M3" s="2028"/>
      <c r="N3" s="2028"/>
      <c r="O3" s="2028"/>
      <c r="P3" s="2028"/>
      <c r="Q3" s="2028"/>
      <c r="R3" s="2028"/>
      <c r="S3" s="2028"/>
      <c r="T3" s="2028"/>
      <c r="U3" s="2028"/>
      <c r="V3" s="2028"/>
    </row>
    <row r="4" spans="1:22" ht="14.25">
      <c r="A4" s="256" t="s">
        <v>299</v>
      </c>
      <c r="B4" s="257" t="s">
        <v>300</v>
      </c>
      <c r="C4" s="258" t="s">
        <v>3191</v>
      </c>
      <c r="D4" s="258" t="s">
        <v>3192</v>
      </c>
      <c r="E4" s="3280" t="s">
        <v>301</v>
      </c>
      <c r="F4" s="3281"/>
      <c r="G4" s="3281"/>
      <c r="H4" s="3281"/>
      <c r="I4" s="3310"/>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9" t="s">
        <v>302</v>
      </c>
      <c r="B5" s="3305">
        <v>25</v>
      </c>
      <c r="C5" s="3303"/>
      <c r="D5" s="3307"/>
      <c r="E5" s="259" t="s">
        <v>303</v>
      </c>
      <c r="F5" s="260"/>
      <c r="G5" s="260"/>
      <c r="H5" s="260"/>
      <c r="I5" s="261"/>
      <c r="J5" s="2029"/>
      <c r="K5" s="2028"/>
      <c r="L5" s="2028"/>
      <c r="M5" s="2028"/>
      <c r="N5" s="2028"/>
      <c r="O5" s="2028"/>
      <c r="P5" s="2028"/>
      <c r="Q5" s="2028"/>
      <c r="R5" s="2028"/>
      <c r="S5" s="2028"/>
      <c r="T5" s="2028"/>
      <c r="U5" s="2028"/>
      <c r="V5" s="2028"/>
    </row>
    <row r="6" spans="1:22" ht="14.25">
      <c r="A6" s="3279"/>
      <c r="B6" s="3305"/>
      <c r="C6" s="3306"/>
      <c r="D6" s="3307"/>
      <c r="E6" s="259" t="s">
        <v>304</v>
      </c>
      <c r="F6" s="260"/>
      <c r="G6" s="260"/>
      <c r="H6" s="260"/>
      <c r="I6" s="261"/>
      <c r="J6" s="2029"/>
      <c r="K6" s="2028"/>
      <c r="L6" s="2028"/>
      <c r="M6" s="2028"/>
      <c r="N6" s="2028"/>
      <c r="O6" s="2028"/>
      <c r="P6" s="2028"/>
      <c r="Q6" s="2028"/>
      <c r="R6" s="2028"/>
      <c r="S6" s="2028"/>
      <c r="T6" s="2028"/>
      <c r="U6" s="2028"/>
      <c r="V6" s="2028"/>
    </row>
    <row r="7" spans="1:22" ht="14.25">
      <c r="A7" s="3279"/>
      <c r="B7" s="3305"/>
      <c r="C7" s="3304"/>
      <c r="D7" s="3307"/>
      <c r="E7" s="259" t="s">
        <v>305</v>
      </c>
      <c r="F7" s="260"/>
      <c r="G7" s="260"/>
      <c r="H7" s="260"/>
      <c r="I7" s="261"/>
      <c r="J7" s="2029"/>
      <c r="K7" s="2028"/>
      <c r="L7" s="2028"/>
      <c r="M7" s="2028"/>
      <c r="N7" s="2028"/>
      <c r="O7" s="2028"/>
      <c r="P7" s="2028"/>
      <c r="Q7" s="2028"/>
      <c r="R7" s="2028"/>
      <c r="S7" s="2028"/>
      <c r="T7" s="2028"/>
      <c r="U7" s="2028"/>
      <c r="V7" s="2028"/>
    </row>
    <row r="8" spans="1:22" ht="14.25">
      <c r="A8" s="3279" t="s">
        <v>306</v>
      </c>
      <c r="B8" s="3305">
        <v>15</v>
      </c>
      <c r="C8" s="3303"/>
      <c r="D8" s="3307"/>
      <c r="E8" s="259" t="s">
        <v>307</v>
      </c>
      <c r="F8" s="260"/>
      <c r="G8" s="260"/>
      <c r="H8" s="260"/>
      <c r="I8" s="261"/>
      <c r="J8" s="2029"/>
      <c r="K8" s="2028"/>
      <c r="L8" s="2028"/>
      <c r="M8" s="2028"/>
      <c r="N8" s="2028"/>
      <c r="O8" s="2028"/>
      <c r="P8" s="2028"/>
      <c r="Q8" s="2028"/>
      <c r="R8" s="2028"/>
      <c r="S8" s="2028"/>
      <c r="T8" s="2028"/>
      <c r="U8" s="2028"/>
      <c r="V8" s="2028"/>
    </row>
    <row r="9" spans="1:22" ht="14.25">
      <c r="A9" s="3279"/>
      <c r="B9" s="3305"/>
      <c r="C9" s="3304"/>
      <c r="D9" s="3307"/>
      <c r="E9" s="259" t="s">
        <v>308</v>
      </c>
      <c r="F9" s="260"/>
      <c r="G9" s="260"/>
      <c r="H9" s="260"/>
      <c r="I9" s="261"/>
      <c r="J9" s="2029"/>
      <c r="K9" s="2028"/>
      <c r="L9" s="2028"/>
      <c r="M9" s="2028"/>
      <c r="N9" s="2028"/>
      <c r="O9" s="2028"/>
      <c r="P9" s="2028"/>
      <c r="Q9" s="2028"/>
      <c r="R9" s="2028"/>
      <c r="S9" s="2028"/>
      <c r="T9" s="2028"/>
      <c r="U9" s="2028"/>
      <c r="V9" s="2028"/>
    </row>
    <row r="10" spans="1:22" ht="14.25">
      <c r="A10" s="3279" t="s">
        <v>309</v>
      </c>
      <c r="B10" s="3305">
        <v>15</v>
      </c>
      <c r="C10" s="3303"/>
      <c r="D10" s="3307"/>
      <c r="E10" s="259" t="s">
        <v>310</v>
      </c>
      <c r="F10" s="260"/>
      <c r="G10" s="260"/>
      <c r="H10" s="260"/>
      <c r="I10" s="261"/>
      <c r="J10" s="2029"/>
      <c r="K10" s="2028"/>
      <c r="L10" s="2028"/>
      <c r="M10" s="2028"/>
      <c r="N10" s="2028"/>
      <c r="O10" s="2028"/>
      <c r="P10" s="2028"/>
      <c r="Q10" s="2028"/>
      <c r="R10" s="2028"/>
      <c r="S10" s="2028"/>
      <c r="T10" s="2028"/>
      <c r="U10" s="2028"/>
      <c r="V10" s="2028"/>
    </row>
    <row r="11" spans="1:22" ht="14.25">
      <c r="A11" s="3279"/>
      <c r="B11" s="3305"/>
      <c r="C11" s="3304"/>
      <c r="D11" s="3307"/>
      <c r="E11" s="259" t="s">
        <v>311</v>
      </c>
      <c r="F11" s="260"/>
      <c r="G11" s="260"/>
      <c r="H11" s="260"/>
      <c r="I11" s="261"/>
      <c r="J11" s="2029"/>
      <c r="K11" s="2028"/>
      <c r="L11" s="2028"/>
      <c r="M11" s="2028"/>
      <c r="N11" s="2028"/>
      <c r="O11" s="2028"/>
      <c r="P11" s="2028"/>
      <c r="Q11" s="2028"/>
      <c r="R11" s="2028"/>
      <c r="S11" s="2028"/>
      <c r="T11" s="2028"/>
      <c r="U11" s="2028"/>
      <c r="V11" s="2028"/>
    </row>
    <row r="12" spans="1:22" ht="14.25">
      <c r="A12" s="3279" t="s">
        <v>312</v>
      </c>
      <c r="B12" s="3305">
        <v>15</v>
      </c>
      <c r="C12" s="3303"/>
      <c r="D12" s="3307"/>
      <c r="E12" s="259" t="s">
        <v>313</v>
      </c>
      <c r="F12" s="260"/>
      <c r="G12" s="260"/>
      <c r="H12" s="260"/>
      <c r="I12" s="261"/>
      <c r="J12" s="2029"/>
      <c r="K12" s="2028"/>
      <c r="L12" s="2028"/>
      <c r="M12" s="2028"/>
      <c r="N12" s="2028"/>
      <c r="O12" s="2028"/>
      <c r="P12" s="2028"/>
      <c r="Q12" s="2028"/>
      <c r="R12" s="2028"/>
      <c r="S12" s="2028"/>
      <c r="T12" s="2028"/>
      <c r="U12" s="2028"/>
      <c r="V12" s="2028"/>
    </row>
    <row r="13" spans="1:22" ht="14.25">
      <c r="A13" s="3279"/>
      <c r="B13" s="3305"/>
      <c r="C13" s="3304"/>
      <c r="D13" s="3307"/>
      <c r="E13" s="259" t="s">
        <v>314</v>
      </c>
      <c r="F13" s="260"/>
      <c r="G13" s="260"/>
      <c r="H13" s="260"/>
      <c r="I13" s="261"/>
      <c r="J13" s="2029"/>
      <c r="K13" s="2028"/>
      <c r="L13" s="2028"/>
      <c r="M13" s="2028"/>
      <c r="N13" s="2028"/>
      <c r="O13" s="2028"/>
      <c r="P13" s="2028"/>
      <c r="Q13" s="2028"/>
      <c r="R13" s="2028"/>
      <c r="S13" s="2028"/>
      <c r="T13" s="2028"/>
      <c r="U13" s="2028"/>
      <c r="V13" s="2028"/>
    </row>
    <row r="14" spans="1:22" ht="14.25">
      <c r="A14" s="3279" t="s">
        <v>315</v>
      </c>
      <c r="B14" s="3305">
        <v>30</v>
      </c>
      <c r="C14" s="3303">
        <v>5</v>
      </c>
      <c r="D14" s="3307">
        <v>5</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279"/>
      <c r="B15" s="3305"/>
      <c r="C15" s="3306"/>
      <c r="D15" s="3307"/>
      <c r="E15" s="259" t="s">
        <v>317</v>
      </c>
      <c r="F15" s="260"/>
      <c r="G15" s="260"/>
      <c r="H15" s="260"/>
      <c r="I15" s="261"/>
      <c r="J15" s="2029"/>
      <c r="K15" s="2028"/>
      <c r="L15" s="2028"/>
      <c r="M15" s="2028"/>
      <c r="N15" s="2028"/>
      <c r="O15" s="2028"/>
      <c r="P15" s="2028"/>
      <c r="Q15" s="2028"/>
      <c r="R15" s="2028"/>
      <c r="S15" s="2028"/>
      <c r="T15" s="2028"/>
      <c r="U15" s="2028"/>
      <c r="V15" s="2028"/>
    </row>
    <row r="16" spans="1:22" ht="14.25">
      <c r="A16" s="3279"/>
      <c r="B16" s="3305"/>
      <c r="C16" s="3304"/>
      <c r="D16" s="3307"/>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4"/>
      <c r="C17" s="263">
        <f>SUM(C5:C16)</f>
        <v>5</v>
      </c>
      <c r="D17" s="263">
        <f>SUM(D5:D16)</f>
        <v>5</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5"/>
      <c r="C18" s="265">
        <f>ROUND(C17/SUM(C17:D17),2)</f>
        <v>0.5</v>
      </c>
      <c r="D18" s="265">
        <f>1-C18</f>
        <v>0.5</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560360</v>
      </c>
      <c r="D19" s="269">
        <f ca="1">SUMIF(INDIRECT("'"&amp;D4&amp;"'"&amp;"!A:A"),结果表!B19,INDIRECT("'"&amp;D4&amp;"'"&amp;"!B:B"))</f>
        <v>544626</v>
      </c>
      <c r="E19" s="266" t="s">
        <v>323</v>
      </c>
      <c r="F19" s="267" t="s">
        <v>322</v>
      </c>
      <c r="G19" s="270">
        <f ca="1">ROUND(C19*$C$18+D19*$D$18,0)</f>
        <v>552493</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24417</v>
      </c>
      <c r="D20" s="275">
        <f ca="1">SUMIF(INDIRECT("'"&amp;D4&amp;"'"&amp;"!A:A"),结果表!B20,INDIRECT("'"&amp;D4&amp;"'"&amp;"!B:B"))</f>
        <v>23732</v>
      </c>
      <c r="E20" s="272"/>
      <c r="F20" s="273" t="s">
        <v>325</v>
      </c>
      <c r="G20" s="276">
        <f ca="1">ROUND(C20*$C$18+D20*$D$18,0)</f>
        <v>24075</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78996</v>
      </c>
      <c r="D21" s="151">
        <f ca="1">SUMIF(INDIRECT("'"&amp;D4&amp;"'"&amp;"!A:A"),结果表!B21,INDIRECT("'"&amp;D4&amp;"'"&amp;"!B:B"))</f>
        <v>76778</v>
      </c>
      <c r="E21" s="272"/>
      <c r="F21" s="278" t="s">
        <v>327</v>
      </c>
      <c r="G21" s="280">
        <f ca="1">ROUND(C21*$C$18+D21*$D$18,0)</f>
        <v>77887</v>
      </c>
      <c r="H21" s="1249" t="s">
        <v>326</v>
      </c>
      <c r="I21" s="309"/>
      <c r="J21" s="2028"/>
      <c r="K21" s="2028"/>
      <c r="L21" s="2028"/>
      <c r="M21" s="2028"/>
      <c r="N21" s="2028"/>
      <c r="O21" s="2028"/>
      <c r="P21" s="2028"/>
      <c r="Q21" s="2028"/>
      <c r="R21" s="2028"/>
      <c r="S21" s="2028"/>
      <c r="T21" s="2028"/>
      <c r="U21" s="2028"/>
      <c r="V21" s="2028"/>
    </row>
    <row r="22" spans="1:26" ht="15.75" thickBot="1">
      <c r="A22" s="126" t="s">
        <v>328</v>
      </c>
      <c r="B22" s="1250"/>
      <c r="C22" s="1251"/>
      <c r="D22" s="281">
        <f ca="1">IF(C19&lt;D19,D19/C19-1,C19/D19-1)</f>
        <v>2.8889549892954003E-2</v>
      </c>
      <c r="E22" s="282"/>
      <c r="F22" s="283"/>
      <c r="G22" s="284">
        <f ca="1">ROUND(G19/('数据-汇总表'!D3/666.67),0)</f>
        <v>5193</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285"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286"/>
      <c r="B25" s="1319" t="s">
        <v>331</v>
      </c>
      <c r="C25" s="288">
        <f>IF(B30=0,0,C30)</f>
        <v>0</v>
      </c>
      <c r="D25" s="289"/>
      <c r="E25" s="309"/>
      <c r="F25" s="309"/>
      <c r="G25" s="309"/>
      <c r="H25" s="309"/>
      <c r="I25" s="309"/>
      <c r="J25" s="2028"/>
      <c r="K25" s="1253" t="str">
        <f ca="1">项目基本情况!B16&amp;"国有建设用地使用权价格："&amp;O38&amp;"万元"</f>
        <v>出让国有建设用地使用权价格：552493万元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大写金额：人民币伍拾伍亿贰仟肆佰玖拾叁万元整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单位面积地价：77887元/平方米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楼面地价：24075元/平方米</v>
      </c>
      <c r="L28" s="1250"/>
      <c r="M28" s="1250"/>
      <c r="N28" s="1250"/>
      <c r="O28" s="1249"/>
      <c r="P28" s="2028"/>
      <c r="V28" s="2028"/>
    </row>
    <row r="29" spans="1:26" ht="18">
      <c r="A29" s="291"/>
      <c r="B29" s="292"/>
      <c r="C29" s="292"/>
      <c r="D29" s="293"/>
      <c r="E29" s="309"/>
      <c r="F29" s="309"/>
      <c r="G29" s="309"/>
      <c r="H29" s="309"/>
      <c r="I29" s="309"/>
      <c r="J29" s="2028"/>
      <c r="K29" s="1256" t="str">
        <f ca="1">IF(OR(项目基本情况!E8="抵押价格",项目基本情况!E8="已注销及未注销"),"抵押价格："&amp;O39&amp;"万元","——")</f>
        <v>抵押价格：552493万元</v>
      </c>
      <c r="L29" s="1250"/>
      <c r="M29" s="1250"/>
      <c r="N29" s="1250"/>
      <c r="O29" s="1249"/>
      <c r="P29" s="2028"/>
      <c r="V29" s="2028"/>
    </row>
    <row r="30" spans="1:26" ht="18.75" thickBot="1">
      <c r="A30" s="3126" t="s">
        <v>336</v>
      </c>
      <c r="B30" s="307"/>
      <c r="C30" s="307"/>
      <c r="D30" s="308"/>
      <c r="E30" s="3127" t="s">
        <v>2956</v>
      </c>
      <c r="F30" s="309"/>
      <c r="G30" s="309"/>
      <c r="H30" s="309"/>
      <c r="I30" s="309"/>
      <c r="J30" s="2028"/>
      <c r="K30" s="1256" t="str">
        <f ca="1">IF(K29="——","——","大写金额：人民币"&amp;NUMBERSTRING(INT(O39*10000),2)&amp;"元整")</f>
        <v>大写金额：人民币伍拾伍亿贰仟肆佰玖拾叁万元整</v>
      </c>
      <c r="L30" s="1250"/>
      <c r="M30" s="1250"/>
      <c r="N30" s="1250"/>
      <c r="O30" s="1249"/>
      <c r="P30" s="2028"/>
      <c r="V30" s="2028"/>
    </row>
    <row r="31" spans="1:26" ht="24" customHeight="1" thickBot="1">
      <c r="A31" s="309"/>
      <c r="B31" s="309"/>
      <c r="C31" s="309"/>
      <c r="D31" s="309"/>
      <c r="E31" s="309"/>
      <c r="F31" s="309"/>
      <c r="G31" s="309"/>
      <c r="H31" s="309"/>
      <c r="I31" s="309"/>
      <c r="J31" s="2028"/>
      <c r="K31" s="2468" t="str">
        <f>IF(项目基本情况!E8="抵押价格","——","抵押担保权已注销时的抵押价格："&amp;O40&amp;"万元")</f>
        <v>——</v>
      </c>
      <c r="L31" s="2464"/>
      <c r="M31" s="2464"/>
      <c r="N31" s="2464"/>
      <c r="O31" s="2465"/>
      <c r="P31" s="2028"/>
      <c r="V31" s="2028"/>
    </row>
    <row r="32" spans="1:26" ht="18.75" thickBot="1">
      <c r="A32" s="266" t="s">
        <v>337</v>
      </c>
      <c r="B32" s="1380" t="s">
        <v>1689</v>
      </c>
      <c r="C32" s="1381">
        <f ca="1">G19-C24</f>
        <v>552493</v>
      </c>
      <c r="D32" s="1382" t="s">
        <v>1690</v>
      </c>
      <c r="E32" s="309"/>
      <c r="F32" s="309"/>
      <c r="G32" s="309"/>
      <c r="H32" s="309"/>
      <c r="I32" s="309"/>
      <c r="J32" s="2028"/>
      <c r="K32" s="2463" t="str">
        <f>IF(K31="——","——","大写金额：人民币"&amp;NUMBERSTRING(INT(O40*10000),2)&amp;"元整")</f>
        <v>——</v>
      </c>
      <c r="L32" s="2466"/>
      <c r="M32" s="2466"/>
      <c r="N32" s="2466"/>
      <c r="O32" s="2467"/>
      <c r="P32" s="2028"/>
      <c r="V32" s="2028"/>
    </row>
    <row r="33" spans="1:26" ht="18.75" thickBot="1">
      <c r="A33" s="296" t="s">
        <v>340</v>
      </c>
      <c r="B33" s="1383" t="s">
        <v>1691</v>
      </c>
      <c r="C33" s="262">
        <f ca="1">ROUND(C32*10000/'数据-汇总表'!E3,0)</f>
        <v>24075</v>
      </c>
      <c r="D33" s="1384" t="s">
        <v>1692</v>
      </c>
      <c r="E33" s="3285" t="s">
        <v>338</v>
      </c>
      <c r="F33" s="294" t="s">
        <v>339</v>
      </c>
      <c r="G33" s="295"/>
      <c r="H33" s="978"/>
      <c r="I33" s="1257"/>
      <c r="J33" s="2028"/>
      <c r="K33" s="1256" t="str">
        <f>IF(项目基本情况!E9="——","——","抵押净值："&amp;C46&amp;"万元")</f>
        <v>——</v>
      </c>
      <c r="L33" s="1250"/>
      <c r="M33" s="1250"/>
      <c r="N33" s="1250"/>
      <c r="O33" s="1249"/>
      <c r="P33" s="2028"/>
      <c r="V33" s="2028"/>
    </row>
    <row r="34" spans="1:26" s="1252" customFormat="1" ht="18.75" thickBot="1">
      <c r="A34" s="298"/>
      <c r="B34" s="1385" t="s">
        <v>1693</v>
      </c>
      <c r="C34" s="262">
        <f ca="1">ROUND(C32*10000/'数据-汇总表'!D3,0)</f>
        <v>77887</v>
      </c>
      <c r="D34" s="1386" t="s">
        <v>1692</v>
      </c>
      <c r="E34" s="3326"/>
      <c r="F34" s="127" t="s">
        <v>341</v>
      </c>
      <c r="G34" s="297"/>
      <c r="H34" s="105"/>
      <c r="I34" s="309"/>
      <c r="J34" s="2028"/>
      <c r="K34" s="1259" t="str">
        <f>IF(K33="——","——","大写金额：人民币"&amp;NUMBERSTRING(INT(O41*10000),2)&amp;"元整")</f>
        <v>——</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5193</v>
      </c>
      <c r="D35" s="1389" t="s">
        <v>1694</v>
      </c>
      <c r="E35" s="3327"/>
      <c r="F35" s="299" t="s">
        <v>342</v>
      </c>
      <c r="G35" s="980"/>
      <c r="H35" s="979" t="s">
        <v>343</v>
      </c>
      <c r="I35" s="309"/>
      <c r="J35" s="2028"/>
      <c r="K35" s="3300" t="s">
        <v>350</v>
      </c>
      <c r="L35" s="3300" t="s">
        <v>351</v>
      </c>
      <c r="M35" s="1262" t="s">
        <v>352</v>
      </c>
      <c r="N35" s="3300" t="s">
        <v>353</v>
      </c>
      <c r="O35" s="3300" t="s">
        <v>354</v>
      </c>
      <c r="P35" s="2028"/>
      <c r="V35" s="2028"/>
    </row>
    <row r="36" spans="1:26" ht="16.5" customHeight="1">
      <c r="A36" s="301" t="s">
        <v>344</v>
      </c>
      <c r="B36" s="302" t="s">
        <v>333</v>
      </c>
      <c r="C36" s="303" t="s">
        <v>345</v>
      </c>
      <c r="D36" s="303" t="s">
        <v>346</v>
      </c>
      <c r="E36" s="304" t="s">
        <v>347</v>
      </c>
      <c r="F36" s="309"/>
      <c r="G36" s="309"/>
      <c r="H36" s="309"/>
      <c r="I36" s="309"/>
      <c r="J36" s="2030"/>
      <c r="K36" s="3301"/>
      <c r="L36" s="3301"/>
      <c r="M36" s="1264" t="s">
        <v>355</v>
      </c>
      <c r="N36" s="3301"/>
      <c r="O36" s="3301"/>
      <c r="P36" s="2028"/>
      <c r="V36" s="2028"/>
    </row>
    <row r="37" spans="1:26" ht="16.5" customHeight="1" thickBot="1">
      <c r="A37" s="1258" t="s">
        <v>348</v>
      </c>
      <c r="B37" s="305"/>
      <c r="C37" s="292"/>
      <c r="D37" s="292"/>
      <c r="E37" s="293"/>
      <c r="F37" s="309"/>
      <c r="G37" s="309"/>
      <c r="H37" s="309"/>
      <c r="I37" s="309"/>
      <c r="J37" s="2030"/>
      <c r="K37" s="3302"/>
      <c r="L37" s="3302"/>
      <c r="M37" s="1265"/>
      <c r="N37" s="3302"/>
      <c r="O37" s="3302"/>
      <c r="P37" s="2028"/>
      <c r="V37" s="2028"/>
    </row>
    <row r="38" spans="1:26" ht="16.5" customHeight="1" thickBot="1">
      <c r="A38" s="1258" t="s">
        <v>349</v>
      </c>
      <c r="B38" s="305"/>
      <c r="C38" s="292"/>
      <c r="D38" s="292"/>
      <c r="E38" s="293"/>
      <c r="F38" s="309"/>
      <c r="G38" s="309"/>
      <c r="H38" s="309"/>
      <c r="I38" s="309"/>
      <c r="J38" s="2030"/>
      <c r="K38" s="1266">
        <f>'数据-汇总表'!D3</f>
        <v>70934.91</v>
      </c>
      <c r="L38" s="1267">
        <f>'数据-汇总表'!E3</f>
        <v>229492.13999999998</v>
      </c>
      <c r="M38" s="1267">
        <f ca="1">C34</f>
        <v>77887</v>
      </c>
      <c r="N38" s="1267">
        <f ca="1">C33</f>
        <v>24075</v>
      </c>
      <c r="O38" s="1268">
        <f ca="1">C32</f>
        <v>552493</v>
      </c>
      <c r="P38" s="2028"/>
      <c r="V38" s="2028"/>
    </row>
    <row r="39" spans="1:26" ht="16.5" customHeight="1" thickBot="1">
      <c r="A39" s="1263"/>
      <c r="B39" s="306"/>
      <c r="C39" s="307"/>
      <c r="D39" s="307"/>
      <c r="E39" s="308"/>
      <c r="F39" s="309"/>
      <c r="G39" s="309"/>
      <c r="H39" s="309"/>
      <c r="I39" s="309"/>
      <c r="J39" s="2030"/>
      <c r="K39" s="3345" t="str">
        <f>MID(A44,3,LEN(A44)-2)</f>
        <v>抵押价格</v>
      </c>
      <c r="L39" s="3346"/>
      <c r="M39" s="3346"/>
      <c r="N39" s="3347"/>
      <c r="O39" s="1391">
        <f ca="1">C44</f>
        <v>552493</v>
      </c>
      <c r="P39" s="2028"/>
      <c r="V39" s="2028"/>
    </row>
    <row r="40" spans="1:26" ht="19.5" thickBot="1">
      <c r="A40" s="104" t="s">
        <v>873</v>
      </c>
      <c r="B40" s="309"/>
      <c r="C40" s="309"/>
      <c r="D40" s="309"/>
      <c r="E40" s="309"/>
      <c r="F40" s="309"/>
      <c r="G40" s="309"/>
      <c r="H40" s="309"/>
      <c r="I40" s="309"/>
      <c r="J40" s="2030"/>
      <c r="K40" s="3345" t="str">
        <f t="shared" ref="K40:K41" si="0">MID(A45,3,LEN(A45)-2)</f>
        <v/>
      </c>
      <c r="L40" s="3346"/>
      <c r="M40" s="3346"/>
      <c r="N40" s="3347"/>
      <c r="O40" s="1391" t="str">
        <f>C45</f>
        <v>——</v>
      </c>
      <c r="P40" s="2028"/>
      <c r="V40" s="2028"/>
    </row>
    <row r="41" spans="1:26" ht="16.5" thickBot="1">
      <c r="A41" s="310" t="s">
        <v>356</v>
      </c>
      <c r="B41" s="311"/>
      <c r="C41" s="312" t="s">
        <v>357</v>
      </c>
      <c r="D41" s="313" t="s">
        <v>358</v>
      </c>
      <c r="E41" s="313" t="s">
        <v>359</v>
      </c>
      <c r="F41" s="314" t="s">
        <v>360</v>
      </c>
      <c r="G41" s="309"/>
      <c r="H41" s="309"/>
      <c r="I41" s="309"/>
      <c r="J41" s="2030"/>
      <c r="K41" s="3345" t="str">
        <f t="shared" si="0"/>
        <v/>
      </c>
      <c r="L41" s="3346"/>
      <c r="M41" s="3346"/>
      <c r="N41" s="3347"/>
      <c r="O41" s="1391" t="str">
        <f>C46</f>
        <v>——</v>
      </c>
      <c r="P41" s="2028"/>
      <c r="V41" s="2028"/>
    </row>
    <row r="42" spans="1:26" ht="29.25">
      <c r="A42" s="3287" t="s">
        <v>2067</v>
      </c>
      <c r="B42" s="3288"/>
      <c r="C42" s="262">
        <f ca="1">C32</f>
        <v>552493</v>
      </c>
      <c r="D42" s="315">
        <f ca="1">C33</f>
        <v>24075</v>
      </c>
      <c r="E42" s="315">
        <f ca="1">C34</f>
        <v>77887</v>
      </c>
      <c r="F42" s="316">
        <f ca="1">C35</f>
        <v>5193</v>
      </c>
      <c r="G42" s="309"/>
      <c r="H42" s="309"/>
      <c r="I42" s="317"/>
      <c r="J42" s="2030"/>
      <c r="K42" s="1269" t="s">
        <v>361</v>
      </c>
      <c r="L42" s="2047" t="s">
        <v>362</v>
      </c>
      <c r="M42" s="1270" t="s">
        <v>363</v>
      </c>
      <c r="N42" s="2048" t="s">
        <v>364</v>
      </c>
      <c r="O42" s="2049" t="s">
        <v>365</v>
      </c>
      <c r="P42" s="2028"/>
      <c r="V42" s="2028"/>
    </row>
    <row r="43" spans="1:26" ht="30">
      <c r="A43" s="3298" t="s">
        <v>2727</v>
      </c>
      <c r="B43" s="3299"/>
      <c r="C43" s="262">
        <f>IF(H33="正常操作",G33+G34+G35,G34+G35)</f>
        <v>0</v>
      </c>
      <c r="D43" s="315" t="s">
        <v>43</v>
      </c>
      <c r="E43" s="315" t="s">
        <v>44</v>
      </c>
      <c r="F43" s="316" t="s">
        <v>44</v>
      </c>
      <c r="G43" s="2866" t="s">
        <v>952</v>
      </c>
      <c r="H43" s="309"/>
      <c r="I43" s="317"/>
      <c r="J43" s="2030"/>
      <c r="K43" s="1271" t="str">
        <f>C4</f>
        <v>比较法-住宅、综合</v>
      </c>
      <c r="L43" s="1272">
        <f ca="1">IF(L42="估价结果/万元",C19,C20)</f>
        <v>560360</v>
      </c>
      <c r="M43" s="1273">
        <f>C18</f>
        <v>0.5</v>
      </c>
      <c r="N43" s="1274">
        <f ca="1">IF(N42="测算结果/万元",G19,G20)</f>
        <v>552493</v>
      </c>
      <c r="O43" s="1275">
        <f ca="1">IF(O42="最终结果/万元",C32,C33)</f>
        <v>552493</v>
      </c>
      <c r="P43" s="2028"/>
      <c r="V43" s="2028"/>
    </row>
    <row r="44" spans="1:26" ht="30.75" thickBot="1">
      <c r="A44" s="3287" t="str">
        <f>IF(OR(项目基本情况!E8="抵押价格",项目基本情况!E8="已注销及未注销"),"3.抵押价格","——")</f>
        <v>3.抵押价格</v>
      </c>
      <c r="B44" s="3288"/>
      <c r="C44" s="262">
        <f ca="1">IF(A44="——","——",C42-C43)</f>
        <v>552493</v>
      </c>
      <c r="D44" s="315">
        <f ca="1">ROUND(C44*10000/'数据-汇总表'!E3,0)</f>
        <v>24075</v>
      </c>
      <c r="E44" s="315">
        <f ca="1">ROUND(C44*10000/'数据-汇总表'!D3,0)</f>
        <v>77887</v>
      </c>
      <c r="F44" s="316">
        <f ca="1">ROUND(C44/('数据-汇总表'!D3/666.67),0)</f>
        <v>5193</v>
      </c>
      <c r="G44" s="309"/>
      <c r="H44" s="309"/>
      <c r="I44" s="317"/>
      <c r="J44" s="2030"/>
      <c r="K44" s="1276" t="str">
        <f>D4</f>
        <v>剩余法-待开发</v>
      </c>
      <c r="L44" s="1277">
        <f ca="1">IF(L42="估价结果/万元",D19,D20)</f>
        <v>544626</v>
      </c>
      <c r="M44" s="1278">
        <f>D18</f>
        <v>0.5</v>
      </c>
      <c r="N44" s="1279"/>
      <c r="O44" s="1280"/>
      <c r="P44" s="2028"/>
      <c r="V44" s="2028"/>
    </row>
    <row r="45" spans="1:26" ht="15">
      <c r="A45" s="3293" t="str">
        <f>IF(项目基本情况!E8="已注销及未注销","4.抵押担保权已注销时的抵押价格",IF(项目基本情况!E8="已注销","3.抵押担保权已注销时的抵押价格","——"))</f>
        <v>——</v>
      </c>
      <c r="B45" s="3294"/>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289" t="str">
        <f>IF(项目基本情况!E9="抵押净值",IF(A45="——","4.抵押净值","5.抵押净值"),"——")</f>
        <v>——</v>
      </c>
      <c r="B46" s="3290"/>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6"/>
      <c r="E61" s="216"/>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34" t="s">
        <v>374</v>
      </c>
      <c r="B63" s="3335"/>
      <c r="C63" s="3336"/>
      <c r="D63" s="339">
        <f ca="1">ROUND(C42*F63,0)</f>
        <v>331496</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295" t="s">
        <v>378</v>
      </c>
      <c r="B64" s="3296"/>
      <c r="C64" s="3296"/>
      <c r="D64" s="3296"/>
      <c r="E64" s="3296"/>
      <c r="F64" s="3296"/>
      <c r="G64" s="3297"/>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3"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291" t="s">
        <v>386</v>
      </c>
      <c r="B66" s="3292"/>
      <c r="C66" s="3292"/>
      <c r="D66" s="259">
        <f ca="1">IF(H66="情况1",0,IF(H66="情况2",D70,IF(H66="情况3",D71,IF(H66="情况4",D72))))</f>
        <v>17680</v>
      </c>
      <c r="E66" s="991" t="str">
        <f>IF(H66="情况4","(销售额-原购置价)×税（费）率","销售额×税（费）率")</f>
        <v>销售额×税（费）率</v>
      </c>
      <c r="F66" s="348">
        <f>IF(H66="情况1","免征",'数据-取费表'!B41)</f>
        <v>5.6000000000000001E-2</v>
      </c>
      <c r="G66" s="349" t="s">
        <v>387</v>
      </c>
      <c r="H66" s="191" t="s">
        <v>388</v>
      </c>
      <c r="I66" s="1286"/>
      <c r="J66" s="2034"/>
      <c r="K66" s="1289">
        <v>1</v>
      </c>
      <c r="L66" s="3349" t="s">
        <v>385</v>
      </c>
      <c r="M66" s="3350"/>
      <c r="N66" s="2458"/>
      <c r="O66" s="2459"/>
      <c r="P66" s="2460"/>
      <c r="Q66" s="2028"/>
      <c r="R66" s="2028"/>
      <c r="S66" s="2028"/>
      <c r="T66" s="2028"/>
      <c r="U66" s="2028"/>
      <c r="V66" s="2028"/>
    </row>
    <row r="67" spans="1:22" ht="25.5" customHeight="1">
      <c r="A67" s="350" t="s">
        <v>390</v>
      </c>
      <c r="B67" s="3282" t="s">
        <v>391</v>
      </c>
      <c r="C67" s="3282"/>
      <c r="D67" s="351">
        <v>0</v>
      </c>
      <c r="E67" s="41" t="s">
        <v>392</v>
      </c>
      <c r="F67" s="62" t="s">
        <v>21</v>
      </c>
      <c r="G67" s="3337"/>
      <c r="H67" s="309"/>
      <c r="I67" s="1290"/>
      <c r="J67" s="2035"/>
      <c r="K67" s="1976">
        <v>2</v>
      </c>
      <c r="L67" s="3348" t="s">
        <v>389</v>
      </c>
      <c r="M67" s="3348"/>
      <c r="N67" s="1323">
        <f>'数据-取费表'!B2</f>
        <v>43384</v>
      </c>
      <c r="O67" s="1323"/>
      <c r="P67" s="1323"/>
      <c r="Q67" s="2028"/>
      <c r="R67" s="2028"/>
      <c r="S67" s="2028"/>
      <c r="T67" s="2028"/>
      <c r="U67" s="2028"/>
      <c r="V67" s="2028"/>
    </row>
    <row r="68" spans="1:22" ht="25.5" customHeight="1">
      <c r="A68" s="352"/>
      <c r="B68" s="3282" t="s">
        <v>394</v>
      </c>
      <c r="C68" s="3282"/>
      <c r="D68" s="353"/>
      <c r="E68" s="77"/>
      <c r="F68" s="354"/>
      <c r="G68" s="3338"/>
      <c r="H68" s="309"/>
      <c r="I68" s="1290"/>
      <c r="J68" s="2035"/>
      <c r="K68" s="1976">
        <v>3</v>
      </c>
      <c r="L68" s="3348" t="s">
        <v>393</v>
      </c>
      <c r="M68" s="3348"/>
      <c r="N68" s="1291">
        <f ca="1">C42</f>
        <v>552493</v>
      </c>
      <c r="O68" s="1291"/>
      <c r="P68" s="1291"/>
      <c r="Q68" s="2028"/>
      <c r="R68" s="2028"/>
      <c r="S68" s="2028"/>
      <c r="T68" s="2028"/>
      <c r="U68" s="2028"/>
      <c r="V68" s="2028"/>
    </row>
    <row r="69" spans="1:22" ht="12" customHeight="1">
      <c r="A69" s="355"/>
      <c r="B69" s="3282" t="s">
        <v>395</v>
      </c>
      <c r="C69" s="3282"/>
      <c r="D69" s="356"/>
      <c r="E69" s="73"/>
      <c r="F69" s="354"/>
      <c r="G69" s="3339"/>
      <c r="H69" s="309"/>
      <c r="I69" s="1290"/>
      <c r="J69" s="2035"/>
      <c r="K69" s="1292">
        <v>4</v>
      </c>
      <c r="L69" s="3353" t="s">
        <v>2880</v>
      </c>
      <c r="M69" s="3354"/>
      <c r="N69" s="1293">
        <f ca="1">C44</f>
        <v>552493</v>
      </c>
      <c r="O69" s="1293"/>
      <c r="P69" s="1293"/>
      <c r="Q69" s="2028"/>
      <c r="R69" s="2028"/>
      <c r="S69" s="2028"/>
      <c r="T69" s="2028"/>
      <c r="U69" s="2028"/>
      <c r="V69" s="2028"/>
    </row>
    <row r="70" spans="1:22" ht="24" customHeight="1">
      <c r="A70" s="357" t="s">
        <v>396</v>
      </c>
      <c r="B70" s="3282" t="s">
        <v>397</v>
      </c>
      <c r="C70" s="3282"/>
      <c r="D70" s="356">
        <f ca="1">ROUND(D63*'数据-取费表'!B41/(1+'数据-取费表'!C42),0)</f>
        <v>17680</v>
      </c>
      <c r="E70" s="17" t="s">
        <v>398</v>
      </c>
      <c r="F70" s="358">
        <f>'数据-取费表'!B41</f>
        <v>5.6000000000000001E-2</v>
      </c>
      <c r="G70" s="359"/>
      <c r="H70" s="309"/>
      <c r="I70" s="1290"/>
      <c r="J70" s="2035"/>
      <c r="K70" s="3059"/>
      <c r="L70" s="3060"/>
      <c r="M70" s="3060"/>
      <c r="N70" s="3061" t="s">
        <v>2885</v>
      </c>
      <c r="O70" s="3060"/>
      <c r="P70" s="3062"/>
      <c r="Q70" s="2028"/>
      <c r="R70" s="2028"/>
      <c r="S70" s="2028"/>
      <c r="T70" s="2028"/>
      <c r="U70" s="2028"/>
      <c r="V70" s="2028"/>
    </row>
    <row r="71" spans="1:22" ht="12" customHeight="1">
      <c r="A71" s="357" t="s">
        <v>404</v>
      </c>
      <c r="B71" s="3283" t="s">
        <v>405</v>
      </c>
      <c r="C71" s="3284"/>
      <c r="D71" s="356">
        <f ca="1">ROUND(D63*'数据-取费表'!B41/(1+'数据-取费表'!C42),0)</f>
        <v>17680</v>
      </c>
      <c r="E71" s="17" t="s">
        <v>398</v>
      </c>
      <c r="F71" s="358">
        <f>'数据-取费表'!B41</f>
        <v>5.6000000000000001E-2</v>
      </c>
      <c r="G71" s="359"/>
      <c r="H71" s="309"/>
      <c r="I71" s="1290"/>
      <c r="J71" s="2035"/>
      <c r="K71" s="3058" t="s">
        <v>399</v>
      </c>
      <c r="L71" s="3355" t="s">
        <v>400</v>
      </c>
      <c r="M71" s="3355"/>
      <c r="N71" s="3058" t="s">
        <v>401</v>
      </c>
      <c r="O71" s="3058" t="s">
        <v>402</v>
      </c>
      <c r="P71" s="3058" t="s">
        <v>403</v>
      </c>
      <c r="Q71" s="2028"/>
      <c r="R71" s="2028"/>
      <c r="S71" s="2028"/>
      <c r="T71" s="2028"/>
      <c r="U71" s="2028"/>
      <c r="V71" s="2028"/>
    </row>
    <row r="72" spans="1:22" ht="12" customHeight="1">
      <c r="A72" s="357" t="s">
        <v>407</v>
      </c>
      <c r="B72" s="3283" t="s">
        <v>408</v>
      </c>
      <c r="C72" s="3284"/>
      <c r="D72" s="356">
        <f ca="1">C86</f>
        <v>17568</v>
      </c>
      <c r="E72" s="73" t="s">
        <v>409</v>
      </c>
      <c r="F72" s="358">
        <f>'数据-取费表'!B41</f>
        <v>5.6000000000000001E-2</v>
      </c>
      <c r="G72" s="359"/>
      <c r="H72" s="1296"/>
      <c r="I72" s="1290"/>
      <c r="J72" s="2035"/>
      <c r="K72" s="1976">
        <v>1</v>
      </c>
      <c r="L72" s="3330" t="s">
        <v>406</v>
      </c>
      <c r="M72" s="3330"/>
      <c r="N72" s="1294">
        <f ca="1">D66</f>
        <v>17680</v>
      </c>
      <c r="O72" s="1859" t="str">
        <f>E66</f>
        <v>销售额×税（费）率</v>
      </c>
      <c r="P72" s="1295">
        <f>F66</f>
        <v>5.6000000000000001E-2</v>
      </c>
      <c r="Q72" s="2028"/>
      <c r="R72" s="2028"/>
      <c r="S72" s="2028"/>
      <c r="T72" s="2028"/>
      <c r="U72" s="2028"/>
      <c r="V72" s="2028"/>
    </row>
    <row r="73" spans="1:22" ht="24" customHeight="1">
      <c r="A73" s="3324" t="s">
        <v>411</v>
      </c>
      <c r="B73" s="3292"/>
      <c r="C73" s="3292"/>
      <c r="D73" s="360">
        <f>IF(H73="个人住宅",0,ROUND(D63*I73,0))</f>
        <v>0</v>
      </c>
      <c r="E73" s="17" t="s">
        <v>412</v>
      </c>
      <c r="F73" s="358" t="str">
        <f>IF(H73="正常",I73,"免征")</f>
        <v>免征</v>
      </c>
      <c r="G73" s="359"/>
      <c r="H73" s="191" t="s">
        <v>2453</v>
      </c>
      <c r="I73" s="358">
        <f>'数据-取费表'!B49</f>
        <v>5.0000000000000001E-4</v>
      </c>
      <c r="J73" s="2035"/>
      <c r="K73" s="1976">
        <v>2</v>
      </c>
      <c r="L73" s="3330" t="s">
        <v>410</v>
      </c>
      <c r="M73" s="3330"/>
      <c r="N73" s="1294">
        <f t="shared" ref="N73:P74" si="1">D73</f>
        <v>0</v>
      </c>
      <c r="O73" s="1859" t="str">
        <f t="shared" si="1"/>
        <v>销售额×税（费）率</v>
      </c>
      <c r="P73" s="1295" t="str">
        <f t="shared" si="1"/>
        <v>免征</v>
      </c>
      <c r="Q73" s="2028"/>
      <c r="R73" s="2028"/>
      <c r="S73" s="2028"/>
      <c r="T73" s="2028"/>
      <c r="U73" s="2028"/>
      <c r="V73" s="2028"/>
    </row>
    <row r="74" spans="1:22" ht="24.75">
      <c r="A74" s="3324" t="s">
        <v>415</v>
      </c>
      <c r="B74" s="3292"/>
      <c r="C74" s="3292"/>
      <c r="D74" s="360">
        <f ca="1">IF(H74="个人住宅",D75,D76)</f>
        <v>186971</v>
      </c>
      <c r="E74" s="17" t="s">
        <v>416</v>
      </c>
      <c r="F74" s="358" t="str">
        <f>IF(H74="正常",F76,"免征")</f>
        <v>——</v>
      </c>
      <c r="G74" s="981" t="s">
        <v>417</v>
      </c>
      <c r="H74" s="361" t="s">
        <v>413</v>
      </c>
      <c r="I74" s="42"/>
      <c r="J74" s="2035"/>
      <c r="K74" s="1976">
        <v>3</v>
      </c>
      <c r="L74" s="3330" t="s">
        <v>414</v>
      </c>
      <c r="M74" s="3330"/>
      <c r="N74" s="1294">
        <f t="shared" ca="1" si="1"/>
        <v>186971</v>
      </c>
      <c r="O74" s="1859" t="str">
        <f t="shared" si="1"/>
        <v>增值额×税（费）率</v>
      </c>
      <c r="P74" s="1297" t="str">
        <f t="shared" si="1"/>
        <v>——</v>
      </c>
      <c r="Q74" s="2028"/>
      <c r="R74" s="2028"/>
      <c r="S74" s="2028"/>
      <c r="T74" s="2028"/>
      <c r="U74" s="2028"/>
      <c r="V74" s="2028"/>
    </row>
    <row r="75" spans="1:22" ht="24">
      <c r="A75" s="357" t="s">
        <v>418</v>
      </c>
      <c r="B75" s="3280" t="s">
        <v>419</v>
      </c>
      <c r="C75" s="3310"/>
      <c r="D75" s="362">
        <v>0</v>
      </c>
      <c r="E75" s="41" t="s">
        <v>420</v>
      </c>
      <c r="F75" s="363"/>
      <c r="G75" s="359"/>
      <c r="H75" s="42"/>
      <c r="I75" s="42"/>
      <c r="J75" s="2035"/>
      <c r="K75" s="3051">
        <f>IF(H77="非个人房产","",4)</f>
        <v>4</v>
      </c>
      <c r="L75" s="3330" t="str">
        <f>IF(H77="非个人房产","——","个人所得税")</f>
        <v>个人所得税</v>
      </c>
      <c r="M75" s="3330"/>
      <c r="N75" s="1298">
        <f ca="1">D77</f>
        <v>3315</v>
      </c>
      <c r="O75" s="1872" t="str">
        <f>E77</f>
        <v>销售额×税（费）率</v>
      </c>
      <c r="P75" s="1299">
        <f>F77</f>
        <v>0.01</v>
      </c>
      <c r="Q75" s="2028"/>
      <c r="R75" s="2028"/>
      <c r="S75" s="2028"/>
      <c r="T75" s="2028"/>
      <c r="U75" s="2028"/>
      <c r="V75" s="2028"/>
    </row>
    <row r="76" spans="1:22" ht="24.75">
      <c r="A76" s="357" t="s">
        <v>396</v>
      </c>
      <c r="B76" s="3280" t="s">
        <v>422</v>
      </c>
      <c r="C76" s="3281"/>
      <c r="D76" s="360">
        <f ca="1">IF(H76="转让取得",C99,C115)</f>
        <v>186971</v>
      </c>
      <c r="E76" s="17" t="s">
        <v>423</v>
      </c>
      <c r="F76" s="53" t="s">
        <v>21</v>
      </c>
      <c r="G76" s="359"/>
      <c r="H76" s="361" t="s">
        <v>424</v>
      </c>
      <c r="I76" s="42"/>
      <c r="J76" s="2035"/>
      <c r="K76" s="3051" t="str">
        <f>IF(项目基本情况!K6="上海银行",IF(K75="",4,K75+1),"")</f>
        <v/>
      </c>
      <c r="L76" s="3341" t="str">
        <f>IF(项目基本情况!K6="上海银行","其他处置费用","")</f>
        <v/>
      </c>
      <c r="M76" s="3342"/>
      <c r="N76" s="1294" t="str">
        <f>IF(项目基本情况!K6="上海银行",N89,"")</f>
        <v/>
      </c>
      <c r="O76" s="3343" t="str">
        <f>IF(项目基本情况!K6="上海银行","包含处置中涉及的律师、诉讼、拍卖、评估等费用","")</f>
        <v/>
      </c>
      <c r="P76" s="3344"/>
      <c r="Q76" s="2028"/>
      <c r="R76" s="2028"/>
      <c r="S76" s="2028"/>
      <c r="T76" s="2028"/>
      <c r="U76" s="2028"/>
      <c r="V76" s="2028"/>
    </row>
    <row r="77" spans="1:22" ht="26.25" thickBot="1">
      <c r="A77" s="3332" t="s">
        <v>426</v>
      </c>
      <c r="B77" s="3333"/>
      <c r="C77" s="3333"/>
      <c r="D77" s="364">
        <f ca="1">IF(H77="非个人房产","——",IF(H77="个人住宅",0,ROUND(D63*I77,0)))</f>
        <v>3315</v>
      </c>
      <c r="E77" s="365" t="str">
        <f>IF(H77="非个人房产","——","销售额×税（费）率")</f>
        <v>销售额×税（费）率</v>
      </c>
      <c r="F77" s="366">
        <f>IF(H77="非个人房产","——",IF(H77="个人住宅","免征",I77))</f>
        <v>0.01</v>
      </c>
      <c r="G77" s="982" t="s">
        <v>417</v>
      </c>
      <c r="H77" s="361" t="s">
        <v>2881</v>
      </c>
      <c r="I77" s="367">
        <v>0.01</v>
      </c>
      <c r="J77" s="2035"/>
      <c r="K77" s="3331">
        <f>IF(AND(K75="",K76=""),4,IF(项目基本情况!K6="上海银行",K76+1,K75+1))</f>
        <v>5</v>
      </c>
      <c r="L77" s="3330" t="s">
        <v>2882</v>
      </c>
      <c r="M77" s="3057" t="s">
        <v>421</v>
      </c>
      <c r="N77" s="1300"/>
      <c r="O77" s="1301">
        <f ca="1">SUMIF(N72:N76,"&lt;9e307")</f>
        <v>207966</v>
      </c>
      <c r="P77" s="1302"/>
      <c r="Q77" s="3055">
        <f ca="1">O77/N69</f>
        <v>0.37641381881761399</v>
      </c>
      <c r="R77" s="2028"/>
      <c r="S77" s="2028"/>
      <c r="T77" s="2028"/>
      <c r="U77" s="2028"/>
      <c r="V77" s="2028"/>
    </row>
    <row r="78" spans="1:22" ht="12" customHeight="1">
      <c r="A78" s="1303"/>
      <c r="B78" s="309"/>
      <c r="C78" s="309"/>
      <c r="D78" s="309"/>
      <c r="E78" s="42"/>
      <c r="F78" s="42"/>
      <c r="G78" s="42"/>
      <c r="H78" s="1001"/>
      <c r="I78" s="309"/>
      <c r="J78" s="2035"/>
      <c r="K78" s="3331"/>
      <c r="L78" s="3330"/>
      <c r="M78" s="3057" t="s">
        <v>425</v>
      </c>
      <c r="N78" s="1300"/>
      <c r="O78" s="1301" t="str">
        <f ca="1">NUMBERSTRING(INT(O77*10000),2)&amp;"元整"</f>
        <v>贰拾亿柒仟玖佰陆拾陆万元整</v>
      </c>
      <c r="P78" s="1302"/>
      <c r="Q78" s="2028"/>
      <c r="R78" s="2028"/>
      <c r="S78" s="2028"/>
      <c r="T78" s="2028"/>
      <c r="U78" s="2028"/>
      <c r="V78" s="2028"/>
    </row>
    <row r="79" spans="1:22" ht="13.5" thickBot="1">
      <c r="A79" s="3325" t="s">
        <v>427</v>
      </c>
      <c r="B79" s="3325"/>
      <c r="C79" s="3325"/>
      <c r="D79" s="3325"/>
      <c r="E79" s="3325"/>
      <c r="F79" s="42"/>
      <c r="G79" s="42"/>
      <c r="H79" s="1001"/>
      <c r="I79" s="309"/>
      <c r="J79" s="2035"/>
      <c r="K79" s="3351">
        <f>K77+1</f>
        <v>6</v>
      </c>
      <c r="L79" s="3330" t="s">
        <v>2883</v>
      </c>
      <c r="M79" s="3057" t="s">
        <v>421</v>
      </c>
      <c r="N79" s="1300"/>
      <c r="O79" s="1301">
        <f ca="1">N69-O77</f>
        <v>344527</v>
      </c>
      <c r="P79" s="1302"/>
      <c r="Q79" s="2028"/>
      <c r="R79" s="2028"/>
      <c r="S79" s="2028"/>
      <c r="T79" s="2028"/>
      <c r="U79" s="2028"/>
      <c r="V79" s="2028"/>
    </row>
    <row r="80" spans="1:22" ht="25.5">
      <c r="A80" s="3320" t="s">
        <v>428</v>
      </c>
      <c r="B80" s="3321"/>
      <c r="C80" s="992"/>
      <c r="D80" s="992" t="s">
        <v>429</v>
      </c>
      <c r="E80" s="368" t="s">
        <v>430</v>
      </c>
      <c r="F80" s="42"/>
      <c r="G80" s="42"/>
      <c r="H80" s="1001"/>
      <c r="I80" s="309"/>
      <c r="J80" s="2028"/>
      <c r="K80" s="3352"/>
      <c r="L80" s="3330"/>
      <c r="M80" s="3057" t="s">
        <v>425</v>
      </c>
      <c r="N80" s="1300"/>
      <c r="O80" s="1301" t="str">
        <f ca="1">NUMBERSTRING(INT(O79*10000),2)&amp;"元整"</f>
        <v>叁拾肆亿肆仟伍佰贰拾柒万元整</v>
      </c>
      <c r="P80" s="1302"/>
      <c r="Q80" s="2028"/>
      <c r="R80" s="2028"/>
      <c r="S80" s="2028"/>
      <c r="T80" s="2028"/>
      <c r="U80" s="2028"/>
      <c r="V80" s="2028"/>
    </row>
    <row r="81" spans="1:26" ht="13.5" thickBot="1">
      <c r="A81" s="379" t="s">
        <v>1824</v>
      </c>
      <c r="B81" s="369" t="s">
        <v>431</v>
      </c>
      <c r="C81" s="370">
        <f ca="1">ROUND((C82+C83)/(1+'数据-取费表'!C42),0)</f>
        <v>315710</v>
      </c>
      <c r="D81" s="371"/>
      <c r="E81" s="372"/>
      <c r="F81" s="42"/>
      <c r="G81" s="42"/>
      <c r="H81" s="1001"/>
      <c r="I81" s="309"/>
      <c r="J81" s="2028"/>
      <c r="K81" s="3051">
        <f>K79+1</f>
        <v>7</v>
      </c>
      <c r="L81" s="3328" t="s">
        <v>2884</v>
      </c>
      <c r="M81" s="3329"/>
      <c r="N81" s="1304"/>
      <c r="O81" s="1305">
        <f ca="1">ROUND(O79*10000/'数据-汇总表'!E3,0)</f>
        <v>15013</v>
      </c>
      <c r="P81" s="1306"/>
      <c r="Q81" s="2028"/>
      <c r="R81" s="2028"/>
      <c r="S81" s="2028"/>
      <c r="T81" s="2028"/>
      <c r="U81" s="2028"/>
      <c r="V81" s="2028"/>
    </row>
    <row r="82" spans="1:26" ht="13.5" thickTop="1">
      <c r="A82" s="373" t="s">
        <v>1825</v>
      </c>
      <c r="B82" s="374" t="s">
        <v>432</v>
      </c>
      <c r="C82" s="375">
        <f ca="1">D63</f>
        <v>331496</v>
      </c>
      <c r="D82" s="376" t="s">
        <v>19</v>
      </c>
      <c r="E82" s="377"/>
      <c r="F82" s="42"/>
      <c r="G82" s="42"/>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2"/>
      <c r="G83" s="42"/>
      <c r="H83" s="1001"/>
      <c r="I83" s="309"/>
      <c r="J83" s="2028"/>
      <c r="K83" s="3340" t="s">
        <v>2871</v>
      </c>
      <c r="L83" s="3063" t="s">
        <v>2872</v>
      </c>
      <c r="M83" s="3053">
        <f ca="1">IF(N69&gt;10000,N69*0.5%,IF(AND(N69&gt;1000,N69&lt;=10000),N69*1%,IF(AND(N69&gt;100,N69&lt;=1000),N69*3%,IF(AND(N69&gt;10,N69&lt;=100),N69*5%,N69*8%))))</f>
        <v>2762.4650000000001</v>
      </c>
      <c r="N83" s="53">
        <f ca="1">ROUND(M83,1)</f>
        <v>2762.5</v>
      </c>
      <c r="O83" s="3056"/>
      <c r="P83" s="2028"/>
      <c r="Q83" s="2028"/>
      <c r="R83" s="2028"/>
      <c r="S83" s="2028"/>
      <c r="T83" s="2028"/>
      <c r="U83" s="2028"/>
      <c r="V83" s="2028"/>
    </row>
    <row r="84" spans="1:26" ht="12.75">
      <c r="A84" s="379" t="s">
        <v>1827</v>
      </c>
      <c r="B84" s="380" t="s">
        <v>434</v>
      </c>
      <c r="C84" s="381">
        <v>2000</v>
      </c>
      <c r="D84" s="382" t="s">
        <v>19</v>
      </c>
      <c r="E84" s="3097" t="s">
        <v>2928</v>
      </c>
      <c r="F84" s="42"/>
      <c r="G84" s="42"/>
      <c r="H84" s="1001"/>
      <c r="I84" s="309"/>
      <c r="J84" s="2028"/>
      <c r="K84" s="3340"/>
      <c r="L84" s="3063" t="s">
        <v>2873</v>
      </c>
      <c r="M84" s="3053">
        <f ca="1">IF(N69&gt;2000,N69*0.5%,IF(AND(N69&gt;1000,N69&lt;=2000),N69*0.6%,IF(AND(N69&gt;500,N69&lt;=1000),N69*0.7%,IF(AND(N69&gt;200,N69&lt;=500),N69*0.8%,IF(AND(N69&gt;100,N69&lt;=200),N69*0.9%,IF(AND(N69&gt;50,N69&lt;=100),N69*1%,IF(AND(N69&gt;20,N69&lt;=50),N69*1.5%,IF(AND(N69&gt;10,N69&lt;=20),N69*2%,IF(AND(N69&gt;1,N69&lt;=10),N69*2.5%)))))))))</f>
        <v>2762.4650000000001</v>
      </c>
      <c r="N84" s="53">
        <f t="shared" ref="N84:N85" ca="1" si="2">ROUND(M84,1)</f>
        <v>2762.5</v>
      </c>
      <c r="O84" s="2028" t="s">
        <v>2874</v>
      </c>
      <c r="P84" s="2028"/>
      <c r="Q84" s="2028"/>
      <c r="R84" s="2028"/>
      <c r="S84" s="2028"/>
      <c r="T84" s="2028"/>
      <c r="U84" s="2028"/>
      <c r="V84" s="2028"/>
    </row>
    <row r="85" spans="1:26" ht="12.75">
      <c r="A85" s="379" t="s">
        <v>1828</v>
      </c>
      <c r="B85" s="380" t="s">
        <v>435</v>
      </c>
      <c r="C85" s="383">
        <f ca="1">C81-C84</f>
        <v>313710</v>
      </c>
      <c r="D85" s="376" t="s">
        <v>19</v>
      </c>
      <c r="E85" s="377"/>
      <c r="F85" s="42"/>
      <c r="G85" s="42"/>
      <c r="H85" s="1001"/>
      <c r="I85" s="309"/>
      <c r="J85" s="2028"/>
      <c r="K85" s="3340"/>
      <c r="L85" s="3063" t="s">
        <v>2875</v>
      </c>
      <c r="M85" s="3053">
        <f ca="1">IF(N69&gt;1000,N69*0.1%,IF(AND(N69&gt;500,N69&lt;=1000),N69*0.5%,IF(AND(N69&gt;50,N69&lt;=500),N69*1%,IF(AND(N69&gt;1,N69&lt;=50),N69*1.5%))))</f>
        <v>552.49300000000005</v>
      </c>
      <c r="N85" s="53">
        <f t="shared" ca="1" si="2"/>
        <v>552.5</v>
      </c>
      <c r="O85" s="2028" t="s">
        <v>2874</v>
      </c>
      <c r="P85" s="2028"/>
      <c r="Q85" s="2028"/>
      <c r="R85" s="2028"/>
      <c r="S85" s="2028"/>
      <c r="T85" s="2028"/>
      <c r="U85" s="2028"/>
      <c r="V85" s="2028"/>
    </row>
    <row r="86" spans="1:26" ht="13.5" thickBot="1">
      <c r="A86" s="384" t="s">
        <v>1829</v>
      </c>
      <c r="B86" s="385" t="s">
        <v>436</v>
      </c>
      <c r="C86" s="386">
        <f ca="1">IF(C85&lt;=0,0,ROUND(C85*D86,0))</f>
        <v>17568</v>
      </c>
      <c r="D86" s="387">
        <f>'数据-取费表'!B41</f>
        <v>5.6000000000000001E-2</v>
      </c>
      <c r="E86" s="388"/>
      <c r="F86" s="42"/>
      <c r="G86" s="42"/>
      <c r="H86" s="1001"/>
      <c r="I86" s="309"/>
      <c r="J86" s="2028"/>
      <c r="K86" s="3340"/>
      <c r="L86" s="3063" t="s">
        <v>2876</v>
      </c>
      <c r="M86" s="3053">
        <f ca="1">N69*0.5%</f>
        <v>2762.4650000000001</v>
      </c>
      <c r="N86" s="53">
        <f ca="1">IF(M86&gt;0.5,0.5,ROUND(M86,0))</f>
        <v>0.5</v>
      </c>
      <c r="O86" s="2028" t="s">
        <v>2877</v>
      </c>
      <c r="P86" s="2028"/>
      <c r="Q86" s="2028"/>
      <c r="R86" s="2028"/>
      <c r="S86" s="2028"/>
      <c r="T86" s="2028"/>
      <c r="U86" s="2028"/>
      <c r="V86" s="2028"/>
    </row>
    <row r="87" spans="1:26" s="1252" customFormat="1" ht="14.25" customHeight="1">
      <c r="A87" s="1307"/>
      <c r="B87" s="1308"/>
      <c r="C87" s="1309"/>
      <c r="D87" s="1310"/>
      <c r="E87" s="1311"/>
      <c r="F87" s="42"/>
      <c r="G87" s="42"/>
      <c r="H87" s="1001"/>
      <c r="I87" s="309"/>
      <c r="J87" s="2028"/>
      <c r="K87" s="3340"/>
      <c r="L87" s="3063" t="s">
        <v>2878</v>
      </c>
      <c r="M87" s="3053">
        <f ca="1">IF(N69&gt;=10000,(8.25+(N69-10000)*0.01%),IF(AND(N69&gt;=8000,N69&lt;10000),(7.85+(N69-8000)*0.02%),IF(AND(N69&gt;=5000,N69&lt;8000),(6.65+(N69-5000)*0.04%),IF(AND(N69&gt;=2000,N69&lt;5000),(4.25+(PN69-2000)*0.08%),IF(AND(N69&gt;=1000,N69&lt;2000),(2.75+(N69-1000)*0.15%),IF(AND(N69&gt;=100,N69&lt;1000),(0.5+(N69-100)*0.25%),IF(AND(N69&gt;0,N69&lt;100),N69*0.5%)))))))</f>
        <v>62.499300000000005</v>
      </c>
      <c r="N87" s="53">
        <f ca="1">ROUND(M87*0.9,1)</f>
        <v>56.2</v>
      </c>
      <c r="O87" s="3056"/>
      <c r="P87" s="309"/>
      <c r="Q87" s="2028"/>
      <c r="R87" s="2028"/>
      <c r="S87" s="2028"/>
      <c r="T87" s="2028"/>
      <c r="U87" s="2028"/>
      <c r="V87" s="2028"/>
      <c r="W87" s="290"/>
      <c r="X87" s="290"/>
      <c r="Y87" s="290"/>
      <c r="Z87" s="290"/>
    </row>
    <row r="88" spans="1:26" s="1312" customFormat="1" ht="15" thickBot="1">
      <c r="A88" s="3322" t="s">
        <v>437</v>
      </c>
      <c r="B88" s="3323"/>
      <c r="C88" s="3323"/>
      <c r="D88" s="3323"/>
      <c r="E88" s="3323"/>
      <c r="F88" s="3323"/>
      <c r="G88" s="3323"/>
      <c r="H88" s="3323"/>
      <c r="I88" s="1313"/>
      <c r="J88" s="2036"/>
      <c r="K88" s="3340"/>
      <c r="L88" s="3063" t="s">
        <v>2879</v>
      </c>
      <c r="M88" s="3053">
        <f ca="1">IF(N69&gt;10000,N69*0.5%,IF(AND(N69&gt;5000,N69&lt;=10000),N69*1%,IF(AND(N69&gt;1000,N69&lt;=5000),N69*2%,IF(AND(N69&gt;200,N69&lt;=1000),N69*3%,N69*5%))))</f>
        <v>2762.4650000000001</v>
      </c>
      <c r="N88" s="53">
        <f ca="1">ROUND(M88,1)</f>
        <v>2762.5</v>
      </c>
      <c r="O88" s="3056"/>
      <c r="P88" s="11"/>
      <c r="Q88" s="2033"/>
      <c r="R88" s="2033"/>
      <c r="S88" s="2033"/>
      <c r="T88" s="2033"/>
      <c r="U88" s="2033"/>
      <c r="V88" s="2033"/>
      <c r="W88" s="2037"/>
      <c r="X88" s="2037"/>
      <c r="Y88" s="2037"/>
      <c r="Z88" s="2037"/>
    </row>
    <row r="89" spans="1:26" s="1312" customFormat="1" ht="14.25">
      <c r="A89" s="3320" t="s">
        <v>428</v>
      </c>
      <c r="B89" s="3321"/>
      <c r="C89" s="992"/>
      <c r="D89" s="992" t="s">
        <v>429</v>
      </c>
      <c r="E89" s="389" t="s">
        <v>438</v>
      </c>
      <c r="F89" s="390"/>
      <c r="G89" s="390"/>
      <c r="H89" s="391"/>
      <c r="I89" s="1314"/>
      <c r="J89" s="2038"/>
      <c r="K89" s="3340"/>
      <c r="L89" s="3063" t="s">
        <v>27</v>
      </c>
      <c r="M89" s="3054"/>
      <c r="N89" s="53">
        <f ca="1">ROUND(SUM(N83:N88),0)</f>
        <v>8897</v>
      </c>
      <c r="O89" s="3064">
        <f ca="1">N89/N69</f>
        <v>1.6103371445430077E-2</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315710</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4455</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283" t="s">
        <v>447</v>
      </c>
      <c r="F94" s="3282"/>
      <c r="G94" s="3282"/>
      <c r="H94" s="3319"/>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1894</v>
      </c>
      <c r="D96" s="404">
        <f>'数据-取费表'!B43</f>
        <v>6.000000000000001E-3</v>
      </c>
      <c r="E96" s="3311" t="s">
        <v>2426</v>
      </c>
      <c r="F96" s="3312"/>
      <c r="G96" s="3312"/>
      <c r="H96" s="3313"/>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311255</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69.866442199775534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185194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22" t="s">
        <v>454</v>
      </c>
      <c r="B101" s="3323"/>
      <c r="C101" s="3323"/>
      <c r="D101" s="3323"/>
      <c r="E101" s="3323"/>
      <c r="F101" s="3323"/>
      <c r="G101" s="3323"/>
      <c r="H101" s="3323"/>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0" t="s">
        <v>428</v>
      </c>
      <c r="B102" s="3321"/>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315710</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2584</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14" t="s">
        <v>462</v>
      </c>
      <c r="F109" s="3312"/>
      <c r="G109" s="3312"/>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14" t="s">
        <v>464</v>
      </c>
      <c r="F110" s="3312"/>
      <c r="G110" s="3312"/>
      <c r="H110" s="3313"/>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1894</v>
      </c>
      <c r="D111" s="404">
        <f>'数据-取费表'!B43</f>
        <v>6.000000000000001E-3</v>
      </c>
      <c r="E111" s="3311" t="s">
        <v>2426</v>
      </c>
      <c r="F111" s="3312"/>
      <c r="G111" s="3312"/>
      <c r="H111" s="3313"/>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14" t="s">
        <v>2451</v>
      </c>
      <c r="F112" s="3312"/>
      <c r="G112" s="3312"/>
      <c r="H112" s="3313"/>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313126</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121.17879256965944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186971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K24" sqref="K2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560360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f>ROUND(B2*10000/'数据-汇总表'!E3,0)</f>
        <v>24417</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78996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5266</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365" t="s">
        <v>522</v>
      </c>
      <c r="D6" s="3366"/>
      <c r="E6" s="3365" t="s">
        <v>523</v>
      </c>
      <c r="F6" s="3366"/>
      <c r="G6" s="3365" t="s">
        <v>524</v>
      </c>
      <c r="H6" s="3366"/>
      <c r="I6" s="3365" t="s">
        <v>525</v>
      </c>
      <c r="J6" s="3366"/>
      <c r="K6" s="512" t="s">
        <v>526</v>
      </c>
      <c r="L6" s="2133"/>
      <c r="M6" s="2132"/>
      <c r="N6" s="2132"/>
      <c r="O6" s="2134"/>
      <c r="P6" s="3367" t="s">
        <v>527</v>
      </c>
      <c r="Q6" s="3368"/>
      <c r="R6" s="3373" t="s">
        <v>523</v>
      </c>
      <c r="S6" s="3374"/>
      <c r="T6" s="3373" t="s">
        <v>524</v>
      </c>
      <c r="U6" s="3374"/>
      <c r="V6" s="3360" t="s">
        <v>525</v>
      </c>
      <c r="W6" s="3360"/>
      <c r="X6" s="1566"/>
      <c r="Y6" s="3373" t="s">
        <v>527</v>
      </c>
      <c r="Z6" s="3374"/>
      <c r="AA6" s="3362" t="s">
        <v>523</v>
      </c>
      <c r="AB6" s="3363" t="s">
        <v>524</v>
      </c>
      <c r="AC6" s="3362" t="s">
        <v>525</v>
      </c>
    </row>
    <row r="7" spans="1:30" ht="85.5" customHeight="1">
      <c r="A7" s="513"/>
      <c r="B7" s="514"/>
      <c r="C7" s="3381" t="s">
        <v>2915</v>
      </c>
      <c r="D7" s="3382"/>
      <c r="E7" s="3381" t="str">
        <f>土地案例!A1</f>
        <v>北京市海淀区“海淀北部地区整体开发”西北旺镇亮甲店村HD00-0404-0010、6015、6016、6003、6004地块A2文化设施用地、R2二类居住用地、F1住宅混合公建用地</v>
      </c>
      <c r="F7" s="3382"/>
      <c r="G7" s="3381" t="str">
        <f>土地案例!A2</f>
        <v>海淀区“海淀北部地区整体开发”翠湖科技园HD00-0303-6009、6010地块R2二类居住用地</v>
      </c>
      <c r="H7" s="3382"/>
      <c r="I7" s="3381" t="str">
        <f>土地案例!A3</f>
        <v>海淀区“海淀北部地区整体开发”永丰产业基地(新)HD00-0401-0062、0166、0158地块</v>
      </c>
      <c r="J7" s="3382"/>
      <c r="K7" s="512"/>
      <c r="L7" s="2133"/>
      <c r="M7" s="2132"/>
      <c r="N7" s="2132"/>
      <c r="O7" s="2134"/>
      <c r="P7" s="3369"/>
      <c r="Q7" s="3370"/>
      <c r="R7" s="3375"/>
      <c r="S7" s="3376"/>
      <c r="T7" s="3375"/>
      <c r="U7" s="3376"/>
      <c r="V7" s="3360"/>
      <c r="W7" s="3360"/>
      <c r="X7" s="1566"/>
      <c r="Y7" s="3375"/>
      <c r="Z7" s="3376"/>
      <c r="AA7" s="3363"/>
      <c r="AB7" s="3363"/>
      <c r="AC7" s="3363"/>
    </row>
    <row r="8" spans="1:30" ht="21" thickBot="1">
      <c r="A8" s="513"/>
      <c r="B8" s="514"/>
      <c r="C8" s="3383" t="s">
        <v>2919</v>
      </c>
      <c r="D8" s="3384"/>
      <c r="E8" s="3383" t="s">
        <v>2919</v>
      </c>
      <c r="F8" s="3384"/>
      <c r="G8" s="3379" t="s">
        <v>2919</v>
      </c>
      <c r="H8" s="3380"/>
      <c r="I8" s="3379" t="s">
        <v>2919</v>
      </c>
      <c r="J8" s="3380"/>
      <c r="K8" s="512" t="s">
        <v>528</v>
      </c>
      <c r="L8" s="2133"/>
      <c r="M8" s="2132"/>
      <c r="N8" s="2132"/>
      <c r="O8" s="2134"/>
      <c r="P8" s="3371"/>
      <c r="Q8" s="3372"/>
      <c r="R8" s="3375"/>
      <c r="S8" s="3376"/>
      <c r="T8" s="3377"/>
      <c r="U8" s="3378"/>
      <c r="V8" s="3360"/>
      <c r="W8" s="3360"/>
      <c r="X8" s="1566"/>
      <c r="Y8" s="3377"/>
      <c r="Z8" s="3378"/>
      <c r="AA8" s="3364"/>
      <c r="AB8" s="3364"/>
      <c r="AC8" s="3364"/>
    </row>
    <row r="9" spans="1:30" s="1218" customFormat="1" ht="21" thickBot="1">
      <c r="A9" s="2912"/>
      <c r="B9" s="2919" t="s">
        <v>529</v>
      </c>
      <c r="C9" s="2911">
        <f>'数据-取费表'!B2</f>
        <v>43384</v>
      </c>
      <c r="D9" s="518">
        <v>100</v>
      </c>
      <c r="E9" s="519" t="str">
        <f>土地案例!AA1</f>
        <v>2017-11-16</v>
      </c>
      <c r="F9" s="520">
        <f>SUMIF(72:72,YEAR(E9)&amp;"-"&amp;INT((MONTH(E9)+2)/3),73:73)</f>
        <v>94</v>
      </c>
      <c r="G9" s="521" t="str">
        <f>土地案例!AA2</f>
        <v>2017-08-08</v>
      </c>
      <c r="H9" s="518">
        <f>SUMIF(72:72,YEAR(G9)&amp;"-"&amp;INT((MONTH(G9)+2)/3),73:73)</f>
        <v>92.5</v>
      </c>
      <c r="I9" s="521" t="str">
        <f>土地案例!AA3</f>
        <v>2016-12-01</v>
      </c>
      <c r="J9" s="518">
        <f>SUMIF(72:72,YEAR(I9)&amp;"-"&amp;INT((MONTH(I9)+2)/3),73:73)</f>
        <v>88</v>
      </c>
      <c r="K9" s="522"/>
      <c r="L9" s="2135"/>
      <c r="M9" s="2132"/>
      <c r="N9" s="2132"/>
      <c r="O9" s="2136"/>
      <c r="P9" s="3390" t="s">
        <v>530</v>
      </c>
      <c r="Q9" s="3392"/>
      <c r="R9" s="1567" t="s">
        <v>8</v>
      </c>
      <c r="S9" s="1568">
        <f t="shared" ref="S9:S17" si="0">F9</f>
        <v>94</v>
      </c>
      <c r="T9" s="1567" t="s">
        <v>8</v>
      </c>
      <c r="U9" s="1568">
        <f t="shared" ref="U9:U17" si="1">H9</f>
        <v>92.5</v>
      </c>
      <c r="V9" s="1567" t="s">
        <v>8</v>
      </c>
      <c r="W9" s="1568">
        <f t="shared" ref="W9:W17" si="2">J9</f>
        <v>88</v>
      </c>
      <c r="X9" s="1569"/>
      <c r="Y9" s="3390" t="s">
        <v>530</v>
      </c>
      <c r="Z9" s="3391"/>
      <c r="AA9" s="1570">
        <f>D9/F9</f>
        <v>1.0638297872340425</v>
      </c>
      <c r="AB9" s="1570">
        <f>D9/H9</f>
        <v>1.0810810810810811</v>
      </c>
      <c r="AC9" s="1570">
        <f>D9/J9</f>
        <v>1.1363636363636365</v>
      </c>
    </row>
    <row r="10" spans="1:30" s="1218" customFormat="1" ht="21" thickBot="1">
      <c r="A10" s="2913"/>
      <c r="B10" s="292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5"/>
      <c r="M10" s="2132"/>
      <c r="N10" s="2132"/>
      <c r="O10" s="2136"/>
      <c r="P10" s="3390" t="s">
        <v>533</v>
      </c>
      <c r="Q10" s="3391"/>
      <c r="R10" s="1567" t="s">
        <v>8</v>
      </c>
      <c r="S10" s="1568">
        <f t="shared" si="0"/>
        <v>100</v>
      </c>
      <c r="T10" s="1567" t="s">
        <v>8</v>
      </c>
      <c r="U10" s="1568">
        <f t="shared" si="1"/>
        <v>100</v>
      </c>
      <c r="V10" s="1567" t="s">
        <v>8</v>
      </c>
      <c r="W10" s="1568">
        <f t="shared" si="2"/>
        <v>100</v>
      </c>
      <c r="X10" s="1569"/>
      <c r="Y10" s="3390" t="s">
        <v>533</v>
      </c>
      <c r="Z10" s="3391"/>
      <c r="AA10" s="1570">
        <f t="shared" ref="AA10:AA47" si="3">D10/F10</f>
        <v>1</v>
      </c>
      <c r="AB10" s="1570">
        <f t="shared" ref="AB10:AB47" si="4">D10/H10</f>
        <v>1</v>
      </c>
      <c r="AC10" s="1570">
        <f t="shared" ref="AC10:AC47" si="5">D10/J10</f>
        <v>1</v>
      </c>
    </row>
    <row r="11" spans="1:30" s="1218" customFormat="1" ht="20.25">
      <c r="A11" s="2914"/>
      <c r="B11" s="2921" t="s">
        <v>2753</v>
      </c>
      <c r="C11" s="2908" t="s">
        <v>923</v>
      </c>
      <c r="D11" s="252">
        <v>100</v>
      </c>
      <c r="E11" s="2908" t="s">
        <v>923</v>
      </c>
      <c r="F11" s="252">
        <f>SUMIF(77:77,E11,78:78)-SUMIF(77:77,C11,78:78)+100</f>
        <v>100</v>
      </c>
      <c r="G11" s="2908" t="s">
        <v>923</v>
      </c>
      <c r="H11" s="252">
        <f>SUMIF(77:77,G11,78:78)-SUMIF(77:77,C11,78:78)+100</f>
        <v>100</v>
      </c>
      <c r="I11" s="2908" t="s">
        <v>923</v>
      </c>
      <c r="J11" s="252">
        <f>SUMIF(77:77,I11,78:78)-SUMIF(77:77,C11,78:78)+100</f>
        <v>100</v>
      </c>
      <c r="K11" s="522"/>
      <c r="L11" s="2135"/>
      <c r="M11" s="2132"/>
      <c r="N11" s="2132"/>
      <c r="O11" s="2137"/>
      <c r="P11" s="3359" t="s">
        <v>535</v>
      </c>
      <c r="Q11" s="1149" t="str">
        <f t="shared" ref="Q11:Q17" si="6">B11</f>
        <v>用途</v>
      </c>
      <c r="R11" s="1567" t="s">
        <v>8</v>
      </c>
      <c r="S11" s="1568">
        <f t="shared" si="0"/>
        <v>100</v>
      </c>
      <c r="T11" s="1567" t="s">
        <v>8</v>
      </c>
      <c r="U11" s="1568">
        <f t="shared" si="1"/>
        <v>100</v>
      </c>
      <c r="V11" s="1567" t="s">
        <v>8</v>
      </c>
      <c r="W11" s="1568">
        <f t="shared" si="2"/>
        <v>100</v>
      </c>
      <c r="X11" s="1569"/>
      <c r="Y11" s="3305" t="s">
        <v>536</v>
      </c>
      <c r="Z11" s="1148" t="str">
        <f t="shared" ref="Z11:Z17" si="7">Q11</f>
        <v>用途</v>
      </c>
      <c r="AA11" s="1570">
        <f t="shared" si="3"/>
        <v>1</v>
      </c>
      <c r="AB11" s="1570">
        <f t="shared" si="4"/>
        <v>1</v>
      </c>
      <c r="AC11" s="1570">
        <f t="shared" si="5"/>
        <v>1</v>
      </c>
    </row>
    <row r="12" spans="1:30" s="1336" customFormat="1" ht="27">
      <c r="A12" s="2915"/>
      <c r="B12" s="2920" t="s">
        <v>2754</v>
      </c>
      <c r="C12" s="908">
        <f>'数据-取费表'!F6</f>
        <v>69.42</v>
      </c>
      <c r="D12" s="253">
        <v>100</v>
      </c>
      <c r="E12" s="527" t="s">
        <v>3189</v>
      </c>
      <c r="F12" s="253">
        <f>ROUND(100/'数据-取费表'!G16,0)</f>
        <v>100</v>
      </c>
      <c r="G12" s="527" t="s">
        <v>3189</v>
      </c>
      <c r="H12" s="253">
        <f>ROUND(100/'数据-取费表'!G16,0)</f>
        <v>100</v>
      </c>
      <c r="I12" s="527" t="s">
        <v>3189</v>
      </c>
      <c r="J12" s="253">
        <f>ROUND(100/'数据-取费表'!G16,0)</f>
        <v>100</v>
      </c>
      <c r="K12" s="529"/>
      <c r="L12" s="2138"/>
      <c r="M12" s="2132"/>
      <c r="N12" s="2132"/>
      <c r="O12" s="2139"/>
      <c r="P12" s="3359"/>
      <c r="Q12" s="1149" t="str">
        <f t="shared" si="6"/>
        <v>土地使用年限（年）</v>
      </c>
      <c r="R12" s="1567" t="s">
        <v>8</v>
      </c>
      <c r="S12" s="1568">
        <f t="shared" si="0"/>
        <v>100</v>
      </c>
      <c r="T12" s="1567" t="s">
        <v>8</v>
      </c>
      <c r="U12" s="1568">
        <f t="shared" si="1"/>
        <v>100</v>
      </c>
      <c r="V12" s="1567" t="s">
        <v>8</v>
      </c>
      <c r="W12" s="1568">
        <f t="shared" si="2"/>
        <v>100</v>
      </c>
      <c r="X12" s="1569"/>
      <c r="Y12" s="3305"/>
      <c r="Z12" s="1148" t="str">
        <f t="shared" si="7"/>
        <v>土地使用年限（年）</v>
      </c>
      <c r="AA12" s="1570">
        <f t="shared" si="3"/>
        <v>1</v>
      </c>
      <c r="AB12" s="1570">
        <f t="shared" si="4"/>
        <v>1</v>
      </c>
      <c r="AC12" s="1570">
        <f t="shared" si="5"/>
        <v>1</v>
      </c>
    </row>
    <row r="13" spans="1:30" ht="20.25">
      <c r="A13" s="2916"/>
      <c r="B13" s="2920" t="s">
        <v>2755</v>
      </c>
      <c r="C13" s="532">
        <f>'数据-汇总表'!I4</f>
        <v>1.81</v>
      </c>
      <c r="D13" s="253">
        <v>100</v>
      </c>
      <c r="E13" s="531">
        <f>土地案例!L1</f>
        <v>1.91</v>
      </c>
      <c r="F13" s="253">
        <f>LOOKUP(E13,82:82,83:83)-LOOKUP(C13,82:82,83:83)+100</f>
        <v>100</v>
      </c>
      <c r="G13" s="532">
        <f>土地案例!L2</f>
        <v>1.8</v>
      </c>
      <c r="H13" s="253">
        <f>LOOKUP(G13,82:82,83:83)-LOOKUP(C13,82:82,83:83)+100</f>
        <v>100</v>
      </c>
      <c r="I13" s="531">
        <f>土地案例!L3</f>
        <v>1.66</v>
      </c>
      <c r="J13" s="253">
        <f>LOOKUP(I13,82:82,83:83)-LOOKUP(C13,82:82,83:83)+100</f>
        <v>100</v>
      </c>
      <c r="K13" s="533">
        <v>1</v>
      </c>
      <c r="L13" s="2140"/>
      <c r="M13" s="2132"/>
      <c r="N13" s="2132"/>
      <c r="O13" s="2141"/>
      <c r="P13" s="3359"/>
      <c r="Q13" s="1149" t="str">
        <f t="shared" si="6"/>
        <v>容积率</v>
      </c>
      <c r="R13" s="1567" t="s">
        <v>8</v>
      </c>
      <c r="S13" s="1568">
        <f t="shared" si="0"/>
        <v>100</v>
      </c>
      <c r="T13" s="1567" t="s">
        <v>8</v>
      </c>
      <c r="U13" s="1568">
        <f t="shared" si="1"/>
        <v>100</v>
      </c>
      <c r="V13" s="1567" t="s">
        <v>8</v>
      </c>
      <c r="W13" s="1568">
        <f t="shared" si="2"/>
        <v>100</v>
      </c>
      <c r="X13" s="1569"/>
      <c r="Y13" s="3305"/>
      <c r="Z13" s="1148" t="str">
        <f t="shared" si="7"/>
        <v>容积率</v>
      </c>
      <c r="AA13" s="1570">
        <f t="shared" si="3"/>
        <v>1</v>
      </c>
      <c r="AB13" s="1570">
        <f t="shared" si="4"/>
        <v>1</v>
      </c>
      <c r="AC13" s="1570">
        <f t="shared" si="5"/>
        <v>1</v>
      </c>
    </row>
    <row r="14" spans="1:30" s="1218" customFormat="1" ht="21" thickBot="1">
      <c r="A14" s="2913"/>
      <c r="B14" s="2922" t="s">
        <v>2756</v>
      </c>
      <c r="C14" s="2909"/>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359"/>
      <c r="Q14" s="1149" t="str">
        <f t="shared" si="6"/>
        <v>配建</v>
      </c>
      <c r="R14" s="1567" t="s">
        <v>8</v>
      </c>
      <c r="S14" s="1568">
        <f t="shared" si="0"/>
        <v>100</v>
      </c>
      <c r="T14" s="1567" t="s">
        <v>8</v>
      </c>
      <c r="U14" s="1568">
        <f t="shared" si="1"/>
        <v>100</v>
      </c>
      <c r="V14" s="1567" t="s">
        <v>8</v>
      </c>
      <c r="W14" s="1568">
        <f t="shared" si="2"/>
        <v>100</v>
      </c>
      <c r="X14" s="1569"/>
      <c r="Y14" s="3305"/>
      <c r="Z14" s="1148" t="str">
        <f t="shared" si="7"/>
        <v>配建</v>
      </c>
      <c r="AA14" s="1570">
        <f>D14/F14</f>
        <v>1</v>
      </c>
      <c r="AB14" s="1570">
        <f>D14/H14</f>
        <v>1</v>
      </c>
      <c r="AC14" s="1570">
        <f>D14/J14</f>
        <v>1</v>
      </c>
    </row>
    <row r="15" spans="1:30" ht="20.25" hidden="1">
      <c r="A15" s="2917"/>
      <c r="B15" s="2923">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359"/>
      <c r="Q15" s="1149">
        <f t="shared" si="6"/>
        <v>111</v>
      </c>
      <c r="R15" s="1567" t="s">
        <v>8</v>
      </c>
      <c r="S15" s="1568">
        <f t="shared" si="0"/>
        <v>100</v>
      </c>
      <c r="T15" s="1567" t="s">
        <v>8</v>
      </c>
      <c r="U15" s="1568">
        <f t="shared" si="1"/>
        <v>100</v>
      </c>
      <c r="V15" s="1567" t="s">
        <v>8</v>
      </c>
      <c r="W15" s="1568">
        <f t="shared" si="2"/>
        <v>100</v>
      </c>
      <c r="X15" s="1569"/>
      <c r="Y15" s="3305"/>
      <c r="Z15" s="1148">
        <f t="shared" si="7"/>
        <v>111</v>
      </c>
      <c r="AA15" s="1570">
        <f>D15/F15</f>
        <v>1</v>
      </c>
      <c r="AB15" s="1570">
        <f>D15/H15</f>
        <v>1</v>
      </c>
      <c r="AC15" s="1570">
        <f>D15/J15</f>
        <v>1</v>
      </c>
    </row>
    <row r="16" spans="1:30" ht="21" hidden="1" thickBot="1">
      <c r="A16" s="2918"/>
      <c r="B16" s="2924">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359"/>
      <c r="Q16" s="1149">
        <f t="shared" si="6"/>
        <v>111</v>
      </c>
      <c r="R16" s="1567" t="s">
        <v>8</v>
      </c>
      <c r="S16" s="1568">
        <f t="shared" si="0"/>
        <v>100</v>
      </c>
      <c r="T16" s="1567" t="s">
        <v>8</v>
      </c>
      <c r="U16" s="1568">
        <f t="shared" si="1"/>
        <v>100</v>
      </c>
      <c r="V16" s="1567" t="s">
        <v>8</v>
      </c>
      <c r="W16" s="1568">
        <f t="shared" si="2"/>
        <v>100</v>
      </c>
      <c r="X16" s="1569"/>
      <c r="Y16" s="3305"/>
      <c r="Z16" s="1148">
        <f t="shared" si="7"/>
        <v>111</v>
      </c>
      <c r="AA16" s="1570">
        <f>D16/F16</f>
        <v>1</v>
      </c>
      <c r="AB16" s="1570">
        <f>D16/H16</f>
        <v>1</v>
      </c>
      <c r="AC16" s="1570">
        <f>D16/J16</f>
        <v>1</v>
      </c>
    </row>
    <row r="17" spans="1:29" ht="20.25">
      <c r="A17" s="2910" t="s">
        <v>2751</v>
      </c>
      <c r="B17" s="576" t="s">
        <v>295</v>
      </c>
      <c r="C17" s="546" t="str">
        <f>估价对象房地状况!C15</f>
        <v>一般</v>
      </c>
      <c r="D17" s="549">
        <v>100</v>
      </c>
      <c r="E17" s="550"/>
      <c r="F17" s="547">
        <f>SUMIF(90:90,E18,91:91)-SUMIF(90:90,C18,91:91)+100</f>
        <v>102</v>
      </c>
      <c r="G17" s="548"/>
      <c r="H17" s="547">
        <f>SUMIF(90:90,G18,91:91)-SUMIF(90:90,C18,91:91)+100</f>
        <v>100</v>
      </c>
      <c r="I17" s="550"/>
      <c r="J17" s="547">
        <f>SUMIF(90:90,I18,91:91)-SUMIF(90:90,C18,91:91)+100</f>
        <v>102</v>
      </c>
      <c r="K17" s="533">
        <v>2</v>
      </c>
      <c r="L17" s="2142"/>
      <c r="M17" s="2132"/>
      <c r="N17" s="2132"/>
      <c r="O17" s="2141"/>
      <c r="P17" s="3393" t="s">
        <v>540</v>
      </c>
      <c r="Q17" s="1571" t="str">
        <f t="shared" si="6"/>
        <v>居住社区成熟度</v>
      </c>
      <c r="R17" s="1572" t="s">
        <v>8</v>
      </c>
      <c r="S17" s="1573">
        <f t="shared" si="0"/>
        <v>102</v>
      </c>
      <c r="T17" s="1572" t="s">
        <v>8</v>
      </c>
      <c r="U17" s="1573">
        <f t="shared" si="1"/>
        <v>100</v>
      </c>
      <c r="V17" s="1572" t="s">
        <v>8</v>
      </c>
      <c r="W17" s="1573">
        <f t="shared" si="2"/>
        <v>102</v>
      </c>
      <c r="X17" s="1566"/>
      <c r="Y17" s="3393" t="s">
        <v>540</v>
      </c>
      <c r="Z17" s="1574" t="str">
        <f t="shared" si="7"/>
        <v>居住社区成熟度</v>
      </c>
      <c r="AA17" s="1575">
        <f t="shared" si="3"/>
        <v>0.98039215686274506</v>
      </c>
      <c r="AB17" s="1575">
        <f t="shared" si="4"/>
        <v>1</v>
      </c>
      <c r="AC17" s="1575">
        <f t="shared" si="5"/>
        <v>0.98039215686274506</v>
      </c>
    </row>
    <row r="18" spans="1:29" ht="20.25">
      <c r="A18" s="530"/>
      <c r="B18" s="551"/>
      <c r="C18" s="552" t="s">
        <v>3167</v>
      </c>
      <c r="D18" s="555"/>
      <c r="E18" s="552" t="s">
        <v>3186</v>
      </c>
      <c r="F18" s="553"/>
      <c r="G18" s="552" t="s">
        <v>3167</v>
      </c>
      <c r="H18" s="557"/>
      <c r="I18" s="552" t="s">
        <v>3186</v>
      </c>
      <c r="J18" s="553"/>
      <c r="K18" s="529"/>
      <c r="L18" s="2142"/>
      <c r="M18" s="2132"/>
      <c r="N18" s="2132"/>
      <c r="O18" s="2141"/>
      <c r="P18" s="3394"/>
      <c r="Q18" s="1571"/>
      <c r="R18" s="1572"/>
      <c r="S18" s="1573"/>
      <c r="T18" s="1572"/>
      <c r="U18" s="1573"/>
      <c r="V18" s="1572"/>
      <c r="W18" s="1573"/>
      <c r="X18" s="1566"/>
      <c r="Y18" s="3394"/>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394"/>
      <c r="Q19" s="1571" t="str">
        <f>B19</f>
        <v>商业繁华度</v>
      </c>
      <c r="R19" s="1572" t="s">
        <v>8</v>
      </c>
      <c r="S19" s="1573">
        <f>F19</f>
        <v>100</v>
      </c>
      <c r="T19" s="1572" t="s">
        <v>8</v>
      </c>
      <c r="U19" s="1573">
        <f>H19</f>
        <v>100</v>
      </c>
      <c r="V19" s="1572" t="s">
        <v>8</v>
      </c>
      <c r="W19" s="1573">
        <f>J19</f>
        <v>100</v>
      </c>
      <c r="X19" s="1566"/>
      <c r="Y19" s="3394"/>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2"/>
      <c r="M20" s="2132"/>
      <c r="N20" s="2132"/>
      <c r="O20" s="2141"/>
      <c r="P20" s="3394"/>
      <c r="Q20" s="1571"/>
      <c r="R20" s="1572"/>
      <c r="S20" s="1573"/>
      <c r="T20" s="1572"/>
      <c r="U20" s="1573"/>
      <c r="V20" s="1572"/>
      <c r="W20" s="1573"/>
      <c r="X20" s="1566"/>
      <c r="Y20" s="3394"/>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394"/>
      <c r="Q21" s="1571" t="str">
        <f>B21</f>
        <v>办公集聚程度</v>
      </c>
      <c r="R21" s="1572" t="s">
        <v>8</v>
      </c>
      <c r="S21" s="1573">
        <f>F21</f>
        <v>100</v>
      </c>
      <c r="T21" s="1572" t="s">
        <v>8</v>
      </c>
      <c r="U21" s="1573">
        <f>H21</f>
        <v>100</v>
      </c>
      <c r="V21" s="1572" t="s">
        <v>8</v>
      </c>
      <c r="W21" s="1573">
        <f>J21</f>
        <v>100</v>
      </c>
      <c r="X21" s="1566"/>
      <c r="Y21" s="3394"/>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2"/>
      <c r="M22" s="2132"/>
      <c r="N22" s="2132"/>
      <c r="O22" s="2141"/>
      <c r="P22" s="3394"/>
      <c r="Q22" s="1571"/>
      <c r="R22" s="1572"/>
      <c r="S22" s="1573"/>
      <c r="T22" s="1572"/>
      <c r="U22" s="1573"/>
      <c r="V22" s="1572"/>
      <c r="W22" s="1573"/>
      <c r="X22" s="1566"/>
      <c r="Y22" s="3394"/>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101</v>
      </c>
      <c r="G23" s="560"/>
      <c r="H23" s="557">
        <f>SUMIF(96:96,G24,97:97)-SUMIF(96:96,C24,97:97)+100</f>
        <v>100</v>
      </c>
      <c r="I23" s="562"/>
      <c r="J23" s="557">
        <f>SUMIF(96:96,I24,97:97)-SUMIF(96:96,C24,97:97)+100</f>
        <v>101</v>
      </c>
      <c r="K23" s="533">
        <v>1</v>
      </c>
      <c r="L23" s="2142"/>
      <c r="M23" s="2132"/>
      <c r="N23" s="2132"/>
      <c r="O23" s="2141"/>
      <c r="P23" s="3394"/>
      <c r="Q23" s="1571" t="str">
        <f>B23</f>
        <v>交通便捷度</v>
      </c>
      <c r="R23" s="1572" t="s">
        <v>8</v>
      </c>
      <c r="S23" s="1573">
        <f>F23</f>
        <v>101</v>
      </c>
      <c r="T23" s="1572" t="s">
        <v>8</v>
      </c>
      <c r="U23" s="1573">
        <f>H23</f>
        <v>100</v>
      </c>
      <c r="V23" s="1572" t="s">
        <v>8</v>
      </c>
      <c r="W23" s="1573">
        <f>J23</f>
        <v>101</v>
      </c>
      <c r="X23" s="1566"/>
      <c r="Y23" s="3394"/>
      <c r="Z23" s="1574" t="str">
        <f>Q23</f>
        <v>交通便捷度</v>
      </c>
      <c r="AA23" s="1575">
        <f t="shared" si="3"/>
        <v>0.99009900990099009</v>
      </c>
      <c r="AB23" s="1575">
        <f t="shared" si="4"/>
        <v>1</v>
      </c>
      <c r="AC23" s="1575">
        <f t="shared" si="5"/>
        <v>0.99009900990099009</v>
      </c>
    </row>
    <row r="24" spans="1:29" ht="20.25">
      <c r="A24" s="530"/>
      <c r="B24" s="576"/>
      <c r="C24" s="552" t="s">
        <v>3167</v>
      </c>
      <c r="D24" s="555"/>
      <c r="E24" s="552" t="s">
        <v>3186</v>
      </c>
      <c r="F24" s="553"/>
      <c r="G24" s="552" t="s">
        <v>3167</v>
      </c>
      <c r="H24" s="553"/>
      <c r="I24" s="552" t="s">
        <v>3186</v>
      </c>
      <c r="J24" s="553"/>
      <c r="K24" s="529"/>
      <c r="L24" s="2142"/>
      <c r="M24" s="2132"/>
      <c r="N24" s="2132"/>
      <c r="O24" s="2141"/>
      <c r="P24" s="3394"/>
      <c r="Q24" s="1571"/>
      <c r="R24" s="1572"/>
      <c r="S24" s="1573"/>
      <c r="T24" s="1572"/>
      <c r="U24" s="1573"/>
      <c r="V24" s="1572"/>
      <c r="W24" s="1573"/>
      <c r="X24" s="1566"/>
      <c r="Y24" s="3394"/>
      <c r="Z24" s="1574"/>
      <c r="AA24" s="1575">
        <v>1</v>
      </c>
      <c r="AB24" s="1575">
        <v>1</v>
      </c>
      <c r="AC24" s="1575">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1</v>
      </c>
      <c r="L25" s="2142"/>
      <c r="M25" s="2132"/>
      <c r="N25" s="2132"/>
      <c r="O25" s="2141"/>
      <c r="P25" s="3394"/>
      <c r="Q25" s="1571" t="str">
        <f t="shared" ref="Q25:Q39" si="8">B25</f>
        <v>区域土地利用方向</v>
      </c>
      <c r="R25" s="1572" t="s">
        <v>8</v>
      </c>
      <c r="S25" s="1573">
        <f>F25</f>
        <v>100</v>
      </c>
      <c r="T25" s="1572" t="s">
        <v>8</v>
      </c>
      <c r="U25" s="1573">
        <f>H25</f>
        <v>100</v>
      </c>
      <c r="V25" s="1572" t="s">
        <v>8</v>
      </c>
      <c r="W25" s="1573">
        <f>J25</f>
        <v>100</v>
      </c>
      <c r="X25" s="1566"/>
      <c r="Y25" s="3394"/>
      <c r="Z25" s="1574" t="str">
        <f>Q25</f>
        <v>区域土地利用方向</v>
      </c>
      <c r="AA25" s="1575">
        <f t="shared" si="3"/>
        <v>1</v>
      </c>
      <c r="AB25" s="1575">
        <f t="shared" si="4"/>
        <v>1</v>
      </c>
      <c r="AC25" s="1575">
        <f t="shared" si="5"/>
        <v>1</v>
      </c>
    </row>
    <row r="26" spans="1:29" ht="20.25">
      <c r="A26" s="513"/>
      <c r="B26" s="1005"/>
      <c r="C26" s="552" t="s">
        <v>3186</v>
      </c>
      <c r="D26" s="555"/>
      <c r="E26" s="552" t="s">
        <v>3186</v>
      </c>
      <c r="F26" s="553"/>
      <c r="G26" s="552" t="s">
        <v>3186</v>
      </c>
      <c r="H26" s="553"/>
      <c r="I26" s="552" t="s">
        <v>3186</v>
      </c>
      <c r="J26" s="553"/>
      <c r="K26" s="529"/>
      <c r="L26" s="2142"/>
      <c r="M26" s="2132"/>
      <c r="N26" s="2132"/>
      <c r="O26" s="2141"/>
      <c r="P26" s="3394"/>
      <c r="Q26" s="1571"/>
      <c r="R26" s="1572"/>
      <c r="S26" s="1573"/>
      <c r="T26" s="1572"/>
      <c r="U26" s="1573"/>
      <c r="V26" s="1572"/>
      <c r="W26" s="1573"/>
      <c r="X26" s="1566"/>
      <c r="Y26" s="3394"/>
      <c r="Z26" s="1574"/>
      <c r="AA26" s="1575"/>
      <c r="AB26" s="1575"/>
      <c r="AC26" s="1575"/>
    </row>
    <row r="27" spans="1:29" ht="27">
      <c r="A27" s="513"/>
      <c r="B27" s="576" t="s">
        <v>545</v>
      </c>
      <c r="C27" s="559" t="str">
        <f>估价对象房地状况!C20</f>
        <v>一般</v>
      </c>
      <c r="D27" s="561">
        <v>100</v>
      </c>
      <c r="E27" s="562"/>
      <c r="F27" s="557">
        <f>SUMIF(100:100,E28,101:101)-SUMIF(100:100,C28,101:101)+100</f>
        <v>101</v>
      </c>
      <c r="G27" s="560"/>
      <c r="H27" s="557">
        <f>SUMIF(100:100,G28,101:101)-SUMIF(100:100,C28,101:101)+100</f>
        <v>100</v>
      </c>
      <c r="I27" s="562"/>
      <c r="J27" s="557">
        <f>SUMIF(100:100,I28,101:101)-SUMIF(100:100,C28,101:101)+100</f>
        <v>100</v>
      </c>
      <c r="K27" s="533">
        <v>1</v>
      </c>
      <c r="L27" s="2142"/>
      <c r="M27" s="2132"/>
      <c r="N27" s="2132"/>
      <c r="O27" s="2141"/>
      <c r="P27" s="3394"/>
      <c r="Q27" s="1571" t="str">
        <f t="shared" si="8"/>
        <v>自然及人文环境状况</v>
      </c>
      <c r="R27" s="1572" t="s">
        <v>8</v>
      </c>
      <c r="S27" s="1573">
        <f>F27</f>
        <v>101</v>
      </c>
      <c r="T27" s="1572" t="s">
        <v>8</v>
      </c>
      <c r="U27" s="1573">
        <f>H27</f>
        <v>100</v>
      </c>
      <c r="V27" s="1572" t="s">
        <v>8</v>
      </c>
      <c r="W27" s="1573">
        <f>J27</f>
        <v>100</v>
      </c>
      <c r="X27" s="1566"/>
      <c r="Y27" s="3394"/>
      <c r="Z27" s="1574" t="str">
        <f>Q27</f>
        <v>自然及人文环境状况</v>
      </c>
      <c r="AA27" s="1575">
        <f t="shared" si="3"/>
        <v>0.99009900990099009</v>
      </c>
      <c r="AB27" s="1575">
        <f t="shared" si="4"/>
        <v>1</v>
      </c>
      <c r="AC27" s="1575">
        <f t="shared" si="5"/>
        <v>1</v>
      </c>
    </row>
    <row r="28" spans="1:29" ht="20.25">
      <c r="A28" s="513"/>
      <c r="B28" s="564"/>
      <c r="C28" s="552" t="s">
        <v>3167</v>
      </c>
      <c r="D28" s="555"/>
      <c r="E28" s="552" t="s">
        <v>3186</v>
      </c>
      <c r="F28" s="553"/>
      <c r="G28" s="552" t="s">
        <v>3167</v>
      </c>
      <c r="H28" s="553"/>
      <c r="I28" s="552" t="s">
        <v>3167</v>
      </c>
      <c r="J28" s="553"/>
      <c r="K28" s="529"/>
      <c r="L28" s="2142"/>
      <c r="M28" s="2132"/>
      <c r="N28" s="2132"/>
      <c r="O28" s="2141"/>
      <c r="P28" s="3394"/>
      <c r="Q28" s="1571"/>
      <c r="R28" s="1572"/>
      <c r="S28" s="1573"/>
      <c r="T28" s="1572"/>
      <c r="U28" s="1573"/>
      <c r="V28" s="1572"/>
      <c r="W28" s="1573"/>
      <c r="X28" s="1566"/>
      <c r="Y28" s="3394"/>
      <c r="Z28" s="1574"/>
      <c r="AA28" s="1575">
        <v>1</v>
      </c>
      <c r="AB28" s="1575">
        <v>1</v>
      </c>
      <c r="AC28" s="1575">
        <v>1</v>
      </c>
    </row>
    <row r="29" spans="1:29" s="1218" customFormat="1" ht="20.25">
      <c r="A29" s="575"/>
      <c r="B29" s="2591" t="s">
        <v>2546</v>
      </c>
      <c r="C29" s="571" t="str">
        <f>估价对象房地状况!C21</f>
        <v>一般</v>
      </c>
      <c r="D29" s="561">
        <v>100</v>
      </c>
      <c r="E29" s="562"/>
      <c r="F29" s="557">
        <f>SUMIF(102:102,E30,103:103)-SUMIF(102:102,C30,103:103)+100</f>
        <v>101</v>
      </c>
      <c r="G29" s="560"/>
      <c r="H29" s="557">
        <f>SUMIF(102:102,G30,103:103)-SUMIF(102:102,C30,103:103)+100</f>
        <v>100</v>
      </c>
      <c r="I29" s="562"/>
      <c r="J29" s="557">
        <f>SUMIF(102:102,I30,103:103)-SUMIF(102:102,C30,103:103)+100</f>
        <v>101</v>
      </c>
      <c r="K29" s="533">
        <v>1</v>
      </c>
      <c r="L29" s="2135"/>
      <c r="M29" s="2132"/>
      <c r="N29" s="2132"/>
      <c r="O29" s="2137"/>
      <c r="P29" s="3394"/>
      <c r="Q29" s="1149" t="str">
        <f t="shared" si="8"/>
        <v>公共配套设施</v>
      </c>
      <c r="R29" s="1567" t="s">
        <v>8</v>
      </c>
      <c r="S29" s="1568">
        <f>F29</f>
        <v>101</v>
      </c>
      <c r="T29" s="1567" t="s">
        <v>8</v>
      </c>
      <c r="U29" s="1568">
        <f>H29</f>
        <v>100</v>
      </c>
      <c r="V29" s="1567" t="s">
        <v>8</v>
      </c>
      <c r="W29" s="1568">
        <f>J29</f>
        <v>101</v>
      </c>
      <c r="X29" s="1569"/>
      <c r="Y29" s="3394"/>
      <c r="Z29" s="1148" t="str">
        <f>Q29</f>
        <v>公共配套设施</v>
      </c>
      <c r="AA29" s="1575">
        <f>D29/F29</f>
        <v>0.99009900990099009</v>
      </c>
      <c r="AB29" s="1575">
        <f>D29/H29</f>
        <v>1</v>
      </c>
      <c r="AC29" s="1575">
        <f>D29/J29</f>
        <v>0.99009900990099009</v>
      </c>
    </row>
    <row r="30" spans="1:29" s="1218" customFormat="1" ht="20.25">
      <c r="A30" s="575"/>
      <c r="B30" s="564"/>
      <c r="C30" s="577" t="s">
        <v>3167</v>
      </c>
      <c r="D30" s="555"/>
      <c r="E30" s="577" t="s">
        <v>3186</v>
      </c>
      <c r="F30" s="553"/>
      <c r="G30" s="577" t="s">
        <v>3167</v>
      </c>
      <c r="H30" s="553"/>
      <c r="I30" s="577" t="s">
        <v>3186</v>
      </c>
      <c r="J30" s="553"/>
      <c r="K30" s="529"/>
      <c r="L30" s="2135"/>
      <c r="M30" s="2132"/>
      <c r="N30" s="2132"/>
      <c r="O30" s="2137"/>
      <c r="P30" s="3394"/>
      <c r="Q30" s="1149"/>
      <c r="R30" s="1567"/>
      <c r="S30" s="1568"/>
      <c r="T30" s="1567"/>
      <c r="U30" s="1568"/>
      <c r="V30" s="1567"/>
      <c r="W30" s="1568"/>
      <c r="X30" s="1569"/>
      <c r="Y30" s="3394"/>
      <c r="Z30" s="1148"/>
      <c r="AA30" s="1575">
        <v>1</v>
      </c>
      <c r="AB30" s="1575">
        <v>1</v>
      </c>
      <c r="AC30" s="1575">
        <v>1</v>
      </c>
    </row>
    <row r="31" spans="1:29" s="1218" customFormat="1" ht="20.25">
      <c r="A31" s="575"/>
      <c r="B31" s="2591" t="s">
        <v>2547</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5"/>
      <c r="M31" s="2132"/>
      <c r="N31" s="2132"/>
      <c r="O31" s="2137"/>
      <c r="P31" s="3394"/>
      <c r="Q31" s="2578" t="str">
        <f t="shared" ref="Q31" si="9">B31</f>
        <v>基础设施水平</v>
      </c>
      <c r="R31" s="1567" t="s">
        <v>8</v>
      </c>
      <c r="S31" s="1568">
        <f>F31</f>
        <v>100</v>
      </c>
      <c r="T31" s="1567" t="s">
        <v>8</v>
      </c>
      <c r="U31" s="1568">
        <f>H31</f>
        <v>100</v>
      </c>
      <c r="V31" s="1567" t="s">
        <v>8</v>
      </c>
      <c r="W31" s="1568">
        <f>J31</f>
        <v>100</v>
      </c>
      <c r="X31" s="1569"/>
      <c r="Y31" s="3394"/>
      <c r="Z31" s="2575" t="str">
        <f>Q31</f>
        <v>基础设施水平</v>
      </c>
      <c r="AA31" s="1575">
        <f>D31/F31</f>
        <v>1</v>
      </c>
      <c r="AB31" s="1575">
        <f>D31/H31</f>
        <v>1</v>
      </c>
      <c r="AC31" s="1575">
        <f>D31/J31</f>
        <v>1</v>
      </c>
    </row>
    <row r="32" spans="1:29" s="1218" customFormat="1" ht="20.25">
      <c r="A32" s="575"/>
      <c r="B32" s="564"/>
      <c r="C32" s="577" t="s">
        <v>3180</v>
      </c>
      <c r="D32" s="555"/>
      <c r="E32" s="577" t="s">
        <v>3180</v>
      </c>
      <c r="F32" s="553"/>
      <c r="G32" s="577" t="s">
        <v>3180</v>
      </c>
      <c r="H32" s="553"/>
      <c r="I32" s="577" t="s">
        <v>3180</v>
      </c>
      <c r="J32" s="553"/>
      <c r="K32" s="529"/>
      <c r="L32" s="2135"/>
      <c r="M32" s="2132"/>
      <c r="N32" s="2132"/>
      <c r="O32" s="2137"/>
      <c r="P32" s="3394"/>
      <c r="Q32" s="2578"/>
      <c r="R32" s="1567"/>
      <c r="S32" s="1568"/>
      <c r="T32" s="1567"/>
      <c r="U32" s="1568"/>
      <c r="V32" s="1567"/>
      <c r="W32" s="1568"/>
      <c r="X32" s="1569"/>
      <c r="Y32" s="3394"/>
      <c r="Z32" s="2575"/>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39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4"/>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394"/>
      <c r="Q34" s="1571" t="str">
        <f t="shared" si="8"/>
        <v>毗邻道路的类型与等级</v>
      </c>
      <c r="R34" s="1572" t="s">
        <v>8</v>
      </c>
      <c r="S34" s="1573">
        <f t="shared" si="10"/>
        <v>100</v>
      </c>
      <c r="T34" s="1572" t="s">
        <v>8</v>
      </c>
      <c r="U34" s="1573">
        <f t="shared" si="11"/>
        <v>100</v>
      </c>
      <c r="V34" s="1572" t="s">
        <v>8</v>
      </c>
      <c r="W34" s="1573">
        <f t="shared" si="12"/>
        <v>100</v>
      </c>
      <c r="X34" s="1566"/>
      <c r="Y34" s="3394"/>
      <c r="Z34" s="1574" t="str">
        <f t="shared" si="13"/>
        <v>毗邻道路的类型与等级</v>
      </c>
      <c r="AA34" s="1575">
        <f t="shared" si="3"/>
        <v>1</v>
      </c>
      <c r="AB34" s="1575">
        <f t="shared" si="4"/>
        <v>1</v>
      </c>
      <c r="AC34" s="1575">
        <f t="shared" si="5"/>
        <v>1</v>
      </c>
    </row>
    <row r="35" spans="1:29" ht="21" thickBot="1">
      <c r="A35" s="530"/>
      <c r="B35" s="564"/>
      <c r="C35" s="552"/>
      <c r="D35" s="555"/>
      <c r="E35" s="574"/>
      <c r="F35" s="553"/>
      <c r="G35" s="552"/>
      <c r="H35" s="553"/>
      <c r="I35" s="574"/>
      <c r="J35" s="553"/>
      <c r="K35" s="579"/>
      <c r="L35" s="2142"/>
      <c r="M35" s="2132"/>
      <c r="N35" s="2132"/>
      <c r="O35" s="2141"/>
      <c r="P35" s="3394"/>
      <c r="Q35" s="1571"/>
      <c r="R35" s="1572"/>
      <c r="S35" s="1573"/>
      <c r="T35" s="1572"/>
      <c r="U35" s="1573"/>
      <c r="V35" s="1572"/>
      <c r="W35" s="1573"/>
      <c r="X35" s="1566"/>
      <c r="Y35" s="3394"/>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394"/>
      <c r="Q36" s="1571" t="str">
        <f t="shared" si="8"/>
        <v>土地级别</v>
      </c>
      <c r="R36" s="1572" t="s">
        <v>8</v>
      </c>
      <c r="S36" s="1573">
        <f t="shared" si="10"/>
        <v>100</v>
      </c>
      <c r="T36" s="1572" t="s">
        <v>8</v>
      </c>
      <c r="U36" s="1573">
        <f t="shared" si="11"/>
        <v>100</v>
      </c>
      <c r="V36" s="1572" t="s">
        <v>8</v>
      </c>
      <c r="W36" s="1573">
        <f t="shared" si="12"/>
        <v>100</v>
      </c>
      <c r="X36" s="1566"/>
      <c r="Y36" s="3394"/>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394"/>
      <c r="Q37" s="1571">
        <f t="shared" si="8"/>
        <v>111</v>
      </c>
      <c r="R37" s="1572" t="s">
        <v>8</v>
      </c>
      <c r="S37" s="1573">
        <f t="shared" si="10"/>
        <v>100</v>
      </c>
      <c r="T37" s="1572" t="s">
        <v>8</v>
      </c>
      <c r="U37" s="1573">
        <f t="shared" si="11"/>
        <v>100</v>
      </c>
      <c r="V37" s="1572" t="s">
        <v>8</v>
      </c>
      <c r="W37" s="1573">
        <f t="shared" si="12"/>
        <v>100</v>
      </c>
      <c r="X37" s="1566"/>
      <c r="Y37" s="3394"/>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395" t="s">
        <v>550</v>
      </c>
      <c r="Q38" s="1571">
        <f t="shared" si="8"/>
        <v>111</v>
      </c>
      <c r="R38" s="1572" t="s">
        <v>8</v>
      </c>
      <c r="S38" s="1573">
        <f t="shared" si="10"/>
        <v>100</v>
      </c>
      <c r="T38" s="1572" t="s">
        <v>8</v>
      </c>
      <c r="U38" s="1573">
        <f t="shared" si="11"/>
        <v>100</v>
      </c>
      <c r="V38" s="1572" t="s">
        <v>8</v>
      </c>
      <c r="W38" s="1573">
        <f t="shared" si="12"/>
        <v>100</v>
      </c>
      <c r="X38" s="1566"/>
      <c r="Y38" s="3396"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396"/>
      <c r="Q39" s="1571">
        <f t="shared" si="8"/>
        <v>111</v>
      </c>
      <c r="R39" s="1576" t="s">
        <v>8</v>
      </c>
      <c r="S39" s="1577">
        <f t="shared" si="10"/>
        <v>100</v>
      </c>
      <c r="T39" s="1576" t="s">
        <v>8</v>
      </c>
      <c r="U39" s="1577">
        <f t="shared" si="11"/>
        <v>100</v>
      </c>
      <c r="V39" s="1576" t="s">
        <v>8</v>
      </c>
      <c r="W39" s="1577">
        <f t="shared" si="12"/>
        <v>100</v>
      </c>
      <c r="X39" s="1578"/>
      <c r="Y39" s="3396"/>
      <c r="Z39" s="1579">
        <f t="shared" si="13"/>
        <v>111</v>
      </c>
      <c r="AA39" s="1575">
        <f t="shared" si="3"/>
        <v>1</v>
      </c>
      <c r="AB39" s="1575">
        <f t="shared" si="4"/>
        <v>1</v>
      </c>
      <c r="AC39" s="1575">
        <f t="shared" si="5"/>
        <v>1</v>
      </c>
    </row>
    <row r="40" spans="1:29" ht="20.25">
      <c r="A40" s="2907" t="s">
        <v>2752</v>
      </c>
      <c r="B40" s="593" t="s">
        <v>552</v>
      </c>
      <c r="C40" s="594">
        <f>'数据-汇总表'!D3</f>
        <v>70934.91</v>
      </c>
      <c r="D40" s="595">
        <v>100</v>
      </c>
      <c r="E40" s="594">
        <f>土地案例!J1</f>
        <v>105309.9</v>
      </c>
      <c r="F40" s="595">
        <f>LOOKUP(E40,119:119,120:120)-LOOKUP(C40,119:119,120:120)+100</f>
        <v>101</v>
      </c>
      <c r="G40" s="594">
        <f>土地案例!J2</f>
        <v>82336.42</v>
      </c>
      <c r="H40" s="595">
        <f>LOOKUP(G40,119:119,120:120)-LOOKUP(C40,119:119,120:120)+100</f>
        <v>100</v>
      </c>
      <c r="I40" s="596">
        <f>土地案例!J3</f>
        <v>83549.62</v>
      </c>
      <c r="J40" s="595">
        <f>LOOKUP(I40,119:119,120:120)-LOOKUP(C40,119:119,120:120)+100</f>
        <v>100</v>
      </c>
      <c r="K40" s="579"/>
      <c r="L40" s="2142"/>
      <c r="M40" s="2132"/>
      <c r="N40" s="2132"/>
      <c r="O40" s="2141"/>
      <c r="P40" s="3396"/>
      <c r="Q40" s="1571" t="str">
        <f>B40</f>
        <v>宗地面积</v>
      </c>
      <c r="R40" s="1572" t="s">
        <v>8</v>
      </c>
      <c r="S40" s="1573">
        <f t="shared" si="10"/>
        <v>101</v>
      </c>
      <c r="T40" s="1572" t="s">
        <v>8</v>
      </c>
      <c r="U40" s="1573">
        <f t="shared" si="11"/>
        <v>100</v>
      </c>
      <c r="V40" s="1572" t="s">
        <v>8</v>
      </c>
      <c r="W40" s="1573">
        <f t="shared" si="12"/>
        <v>100</v>
      </c>
      <c r="X40" s="1566"/>
      <c r="Y40" s="3396"/>
      <c r="Z40" s="1574" t="str">
        <f t="shared" si="13"/>
        <v>宗地面积</v>
      </c>
      <c r="AA40" s="1575">
        <f t="shared" si="3"/>
        <v>0.99009900990099009</v>
      </c>
      <c r="AB40" s="1575">
        <f t="shared" si="4"/>
        <v>1</v>
      </c>
      <c r="AC40" s="1575">
        <f t="shared" si="5"/>
        <v>1</v>
      </c>
    </row>
    <row r="41" spans="1:29" ht="20.25">
      <c r="A41" s="592"/>
      <c r="B41" s="525" t="s">
        <v>553</v>
      </c>
      <c r="C41" s="597" t="s">
        <v>3171</v>
      </c>
      <c r="D41" s="538">
        <v>100</v>
      </c>
      <c r="E41" s="597" t="s">
        <v>3171</v>
      </c>
      <c r="F41" s="538">
        <f>SUMIF(121:121,E41,122:122)-SUMIF(121:121,C41,122:122)+100</f>
        <v>100</v>
      </c>
      <c r="G41" s="597" t="s">
        <v>3171</v>
      </c>
      <c r="H41" s="538">
        <f>SUMIF(121:121,G41,122:122)-SUMIF(121:121,C41,122:122)+100</f>
        <v>100</v>
      </c>
      <c r="I41" s="597" t="s">
        <v>3171</v>
      </c>
      <c r="J41" s="538">
        <f>SUMIF(121:121,I41,122:122)-SUMIF(121:121,C41,122:122)+100</f>
        <v>100</v>
      </c>
      <c r="K41" s="582">
        <v>1</v>
      </c>
      <c r="L41" s="2142"/>
      <c r="M41" s="2132"/>
      <c r="N41" s="2132"/>
      <c r="O41" s="2141"/>
      <c r="P41" s="3396"/>
      <c r="Q41" s="1571" t="str">
        <f t="shared" ref="Q41:Q47" si="14">B41</f>
        <v>宗地形状</v>
      </c>
      <c r="R41" s="1572" t="s">
        <v>8</v>
      </c>
      <c r="S41" s="1573">
        <f t="shared" si="10"/>
        <v>100</v>
      </c>
      <c r="T41" s="1572" t="s">
        <v>8</v>
      </c>
      <c r="U41" s="1573">
        <f t="shared" si="11"/>
        <v>100</v>
      </c>
      <c r="V41" s="1572" t="s">
        <v>8</v>
      </c>
      <c r="W41" s="1573">
        <f t="shared" si="12"/>
        <v>100</v>
      </c>
      <c r="X41" s="1566"/>
      <c r="Y41" s="3396"/>
      <c r="Z41" s="1574" t="str">
        <f t="shared" si="13"/>
        <v>宗地形状</v>
      </c>
      <c r="AA41" s="1575">
        <f t="shared" si="3"/>
        <v>1</v>
      </c>
      <c r="AB41" s="1575">
        <f t="shared" si="4"/>
        <v>1</v>
      </c>
      <c r="AC41" s="1575">
        <f t="shared" si="5"/>
        <v>1</v>
      </c>
    </row>
    <row r="42" spans="1:29" ht="20.25">
      <c r="A42" s="592"/>
      <c r="B42" s="525" t="s">
        <v>554</v>
      </c>
      <c r="C42" s="597" t="s">
        <v>3176</v>
      </c>
      <c r="D42" s="538">
        <v>100</v>
      </c>
      <c r="E42" s="597" t="s">
        <v>3176</v>
      </c>
      <c r="F42" s="538">
        <f>SUMIF(123:123,E42,124:124)-SUMIF(123:123,C42,124:124)+100</f>
        <v>100</v>
      </c>
      <c r="G42" s="597" t="s">
        <v>3176</v>
      </c>
      <c r="H42" s="538">
        <f>SUMIF(123:123,G42,124:124)-SUMIF(123:123,C42,124:124)+100</f>
        <v>100</v>
      </c>
      <c r="I42" s="597" t="s">
        <v>3176</v>
      </c>
      <c r="J42" s="538">
        <f>SUMIF(123:123,I42,124:124)-SUMIF(123:123,C42,124:124)+100</f>
        <v>100</v>
      </c>
      <c r="K42" s="582">
        <v>1</v>
      </c>
      <c r="L42" s="2142"/>
      <c r="M42" s="2132"/>
      <c r="N42" s="2132"/>
      <c r="O42" s="2141"/>
      <c r="P42" s="3396"/>
      <c r="Q42" s="1571" t="str">
        <f t="shared" si="14"/>
        <v>临街宽度及深度</v>
      </c>
      <c r="R42" s="1572" t="s">
        <v>8</v>
      </c>
      <c r="S42" s="1573">
        <f t="shared" si="10"/>
        <v>100</v>
      </c>
      <c r="T42" s="1572" t="s">
        <v>8</v>
      </c>
      <c r="U42" s="1573">
        <f t="shared" si="11"/>
        <v>100</v>
      </c>
      <c r="V42" s="1572" t="s">
        <v>8</v>
      </c>
      <c r="W42" s="1573">
        <f t="shared" si="12"/>
        <v>100</v>
      </c>
      <c r="X42" s="1566"/>
      <c r="Y42" s="3396"/>
      <c r="Z42" s="1574" t="str">
        <f t="shared" si="13"/>
        <v>临街宽度及深度</v>
      </c>
      <c r="AA42" s="1575">
        <f t="shared" si="3"/>
        <v>1</v>
      </c>
      <c r="AB42" s="1575">
        <f t="shared" si="4"/>
        <v>1</v>
      </c>
      <c r="AC42" s="1575">
        <f t="shared" si="5"/>
        <v>1</v>
      </c>
    </row>
    <row r="43" spans="1:29" s="1218" customFormat="1" ht="20.25">
      <c r="A43" s="598"/>
      <c r="B43" s="1895" t="s">
        <v>2422</v>
      </c>
      <c r="C43" s="599" t="s">
        <v>3180</v>
      </c>
      <c r="D43" s="253">
        <v>100</v>
      </c>
      <c r="E43" s="599" t="s">
        <v>3180</v>
      </c>
      <c r="F43" s="538">
        <f>SUMIF(125:125,E43,126:126)-SUMIF(125:125,C43,126:126)+100</f>
        <v>100</v>
      </c>
      <c r="G43" s="599" t="s">
        <v>3180</v>
      </c>
      <c r="H43" s="538">
        <f>SUMIF(125:125,G43,126:126)-SUMIF(125:125,C43,126:126)+100</f>
        <v>100</v>
      </c>
      <c r="I43" s="599" t="s">
        <v>3180</v>
      </c>
      <c r="J43" s="538">
        <f>SUMIF(125:125,I43,126:126)-SUMIF(125:125,C43,126:126)+100</f>
        <v>100</v>
      </c>
      <c r="K43" s="582">
        <v>1</v>
      </c>
      <c r="L43" s="2135"/>
      <c r="M43" s="2132"/>
      <c r="N43" s="2132"/>
      <c r="O43" s="2137"/>
      <c r="P43" s="3396"/>
      <c r="Q43" s="1571" t="str">
        <f t="shared" si="14"/>
        <v>宗地开发程度</v>
      </c>
      <c r="R43" s="1567" t="s">
        <v>8</v>
      </c>
      <c r="S43" s="1568">
        <f t="shared" si="10"/>
        <v>100</v>
      </c>
      <c r="T43" s="1567" t="s">
        <v>8</v>
      </c>
      <c r="U43" s="1568">
        <f t="shared" si="11"/>
        <v>100</v>
      </c>
      <c r="V43" s="1567" t="s">
        <v>8</v>
      </c>
      <c r="W43" s="1568">
        <f t="shared" si="12"/>
        <v>100</v>
      </c>
      <c r="X43" s="1569"/>
      <c r="Y43" s="3396"/>
      <c r="Z43" s="1148" t="str">
        <f t="shared" si="13"/>
        <v>宗地开发程度</v>
      </c>
      <c r="AA43" s="1570">
        <f t="shared" si="3"/>
        <v>1</v>
      </c>
      <c r="AB43" s="1570">
        <f t="shared" si="4"/>
        <v>1</v>
      </c>
      <c r="AC43" s="1570">
        <f t="shared" si="5"/>
        <v>1</v>
      </c>
    </row>
    <row r="44" spans="1:29" ht="21" thickBot="1">
      <c r="A44" s="592"/>
      <c r="B44" s="525" t="s">
        <v>555</v>
      </c>
      <c r="C44" s="597" t="s">
        <v>3186</v>
      </c>
      <c r="D44" s="538">
        <v>100</v>
      </c>
      <c r="E44" s="597" t="s">
        <v>3186</v>
      </c>
      <c r="F44" s="538">
        <f>SUMIF(127:127,E44,128:128)-SUMIF(127:127,C44,128:128)+100</f>
        <v>100</v>
      </c>
      <c r="G44" s="597" t="s">
        <v>3186</v>
      </c>
      <c r="H44" s="538">
        <f>SUMIF(127:127,G44,128:128)-SUMIF(127:127,C44,128:128)+100</f>
        <v>100</v>
      </c>
      <c r="I44" s="597" t="s">
        <v>3186</v>
      </c>
      <c r="J44" s="538">
        <f>SUMIF(127:127,I44,128:128)-SUMIF(127:127,C44,128:128)+100</f>
        <v>100</v>
      </c>
      <c r="K44" s="582">
        <v>1</v>
      </c>
      <c r="L44" s="2142"/>
      <c r="M44" s="2132"/>
      <c r="N44" s="2132"/>
      <c r="O44" s="2141"/>
      <c r="P44" s="3396" t="s">
        <v>550</v>
      </c>
      <c r="Q44" s="1571" t="str">
        <f t="shared" si="14"/>
        <v>工程地质条件</v>
      </c>
      <c r="R44" s="1572" t="s">
        <v>8</v>
      </c>
      <c r="S44" s="1573">
        <f t="shared" si="10"/>
        <v>100</v>
      </c>
      <c r="T44" s="1572" t="s">
        <v>8</v>
      </c>
      <c r="U44" s="1573">
        <f t="shared" si="11"/>
        <v>100</v>
      </c>
      <c r="V44" s="1572" t="s">
        <v>8</v>
      </c>
      <c r="W44" s="1573">
        <f t="shared" si="12"/>
        <v>100</v>
      </c>
      <c r="X44" s="1566"/>
      <c r="Y44" s="3396"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396"/>
      <c r="Q45" s="1571">
        <f t="shared" si="14"/>
        <v>111</v>
      </c>
      <c r="R45" s="1572" t="s">
        <v>8</v>
      </c>
      <c r="S45" s="1573">
        <f t="shared" si="10"/>
        <v>100</v>
      </c>
      <c r="T45" s="1572" t="s">
        <v>8</v>
      </c>
      <c r="U45" s="1573">
        <f t="shared" si="11"/>
        <v>100</v>
      </c>
      <c r="V45" s="1572" t="s">
        <v>8</v>
      </c>
      <c r="W45" s="1573">
        <f t="shared" si="12"/>
        <v>100</v>
      </c>
      <c r="X45" s="1566"/>
      <c r="Y45" s="3396"/>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396"/>
      <c r="Q46" s="1571">
        <f t="shared" si="14"/>
        <v>111</v>
      </c>
      <c r="R46" s="1572" t="s">
        <v>8</v>
      </c>
      <c r="S46" s="1573">
        <f t="shared" si="10"/>
        <v>100</v>
      </c>
      <c r="T46" s="1572" t="s">
        <v>8</v>
      </c>
      <c r="U46" s="1573">
        <f t="shared" si="11"/>
        <v>100</v>
      </c>
      <c r="V46" s="1572" t="s">
        <v>8</v>
      </c>
      <c r="W46" s="1573">
        <f t="shared" si="12"/>
        <v>100</v>
      </c>
      <c r="X46" s="1566"/>
      <c r="Y46" s="3396"/>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396"/>
      <c r="Q47" s="1571">
        <f t="shared" si="14"/>
        <v>111</v>
      </c>
      <c r="R47" s="1576" t="s">
        <v>8</v>
      </c>
      <c r="S47" s="1577">
        <f t="shared" si="10"/>
        <v>100</v>
      </c>
      <c r="T47" s="1576" t="s">
        <v>8</v>
      </c>
      <c r="U47" s="1577">
        <f t="shared" si="11"/>
        <v>100</v>
      </c>
      <c r="V47" s="1576" t="s">
        <v>8</v>
      </c>
      <c r="W47" s="1577">
        <f t="shared" si="12"/>
        <v>100</v>
      </c>
      <c r="X47" s="1578"/>
      <c r="Y47" s="3396"/>
      <c r="Z47" s="1579">
        <f t="shared" si="13"/>
        <v>111</v>
      </c>
      <c r="AA47" s="1575">
        <f t="shared" si="3"/>
        <v>1</v>
      </c>
      <c r="AB47" s="1575">
        <f t="shared" si="4"/>
        <v>1</v>
      </c>
      <c r="AC47" s="1575">
        <f t="shared" si="5"/>
        <v>1</v>
      </c>
    </row>
    <row r="48" spans="1:29" ht="20.25">
      <c r="A48" s="605" t="s">
        <v>556</v>
      </c>
      <c r="B48" s="606" t="s">
        <v>3190</v>
      </c>
      <c r="C48" s="607" t="s">
        <v>1</v>
      </c>
      <c r="D48" s="608"/>
      <c r="E48" s="609">
        <f>ROUND(土地案例!AK1,0)</f>
        <v>37850</v>
      </c>
      <c r="F48" s="610"/>
      <c r="G48" s="611">
        <f>ROUND(土地案例!AK2,0)</f>
        <v>41778</v>
      </c>
      <c r="H48" s="612"/>
      <c r="I48" s="609">
        <f>ROUND(土地案例!AK3,0)</f>
        <v>36017</v>
      </c>
      <c r="J48" s="612"/>
      <c r="K48" s="1338"/>
      <c r="L48" s="2144"/>
      <c r="M48" s="2132"/>
      <c r="N48" s="2132"/>
      <c r="O48" s="2145"/>
      <c r="P48" s="3359" t="str">
        <f>A48</f>
        <v>成交单价</v>
      </c>
      <c r="Q48" s="3359"/>
      <c r="R48" s="3360">
        <f>E48</f>
        <v>37850</v>
      </c>
      <c r="S48" s="3360"/>
      <c r="T48" s="3360">
        <f>G48</f>
        <v>41778</v>
      </c>
      <c r="U48" s="3360"/>
      <c r="V48" s="3360">
        <f>I48</f>
        <v>36017</v>
      </c>
      <c r="W48" s="3360"/>
      <c r="X48" s="1558"/>
      <c r="Y48" s="1580"/>
      <c r="Z48" s="1558"/>
      <c r="AA48" s="1558"/>
      <c r="AB48" s="1558"/>
      <c r="AC48" s="1558"/>
    </row>
    <row r="49" spans="1:29" ht="21" thickBot="1">
      <c r="A49" s="613" t="s">
        <v>2690</v>
      </c>
      <c r="B49" s="614"/>
      <c r="C49" s="615">
        <f>R50</f>
        <v>40812</v>
      </c>
      <c r="D49" s="616"/>
      <c r="E49" s="615">
        <f>R49</f>
        <v>37936</v>
      </c>
      <c r="F49" s="617"/>
      <c r="G49" s="618">
        <f>T49</f>
        <v>45165</v>
      </c>
      <c r="H49" s="616"/>
      <c r="I49" s="615">
        <f>V49</f>
        <v>39335</v>
      </c>
      <c r="J49" s="616"/>
      <c r="K49" s="1339"/>
      <c r="L49" s="2144"/>
      <c r="M49" s="2132"/>
      <c r="N49" s="2132"/>
      <c r="O49" s="2145"/>
      <c r="P49" s="3359" t="str">
        <f>A49</f>
        <v>比较价格（元/平方米）</v>
      </c>
      <c r="Q49" s="3359"/>
      <c r="R49" s="3361">
        <f>ROUND(PRODUCT(R48,AA9:AA47),0)</f>
        <v>37936</v>
      </c>
      <c r="S49" s="3361"/>
      <c r="T49" s="3361">
        <f>ROUND(PRODUCT(T48,AB9:AB47),0)</f>
        <v>45165</v>
      </c>
      <c r="U49" s="3361"/>
      <c r="V49" s="3361">
        <f>ROUND(PRODUCT(V48,AC9:AC47),0)</f>
        <v>39335</v>
      </c>
      <c r="W49" s="3361"/>
      <c r="X49" s="1558"/>
      <c r="Y49" s="1558"/>
      <c r="Z49" s="1558"/>
      <c r="AA49" s="1558"/>
      <c r="AB49" s="1558"/>
      <c r="AC49" s="1558"/>
    </row>
    <row r="50" spans="1:29" ht="21" thickBot="1">
      <c r="A50" s="619" t="s">
        <v>2921</v>
      </c>
      <c r="B50" s="620"/>
      <c r="C50" s="621">
        <f>R50</f>
        <v>40812</v>
      </c>
      <c r="D50" s="621"/>
      <c r="E50" s="621"/>
      <c r="F50" s="621"/>
      <c r="G50" s="621"/>
      <c r="H50" s="621"/>
      <c r="I50" s="621"/>
      <c r="J50" s="621"/>
      <c r="K50" s="1340"/>
      <c r="L50" s="2144"/>
      <c r="M50" s="2132"/>
      <c r="N50" s="2132"/>
      <c r="O50" s="2145"/>
      <c r="P50" s="3356" t="str">
        <f>A50</f>
        <v>估价对象XX用房的比较价格（楼面单价，元/平方米）</v>
      </c>
      <c r="Q50" s="3357"/>
      <c r="R50" s="3358">
        <f>ROUND(AVERAGE(R49:V49),0)</f>
        <v>40812</v>
      </c>
      <c r="S50" s="3358"/>
      <c r="T50" s="3358"/>
      <c r="U50" s="3358"/>
      <c r="V50" s="3358"/>
      <c r="W50" s="335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2.2721268163805597E-3</v>
      </c>
      <c r="F53" s="625" t="str">
        <f>IF(OR(E53&gt;=0.3,E53&lt;=-0.3),"超过30%","")</f>
        <v/>
      </c>
      <c r="G53" s="624">
        <f>IF(G48&lt;G49,G49/G48-1,G48/G49-1)</f>
        <v>8.1071377279908097E-2</v>
      </c>
      <c r="H53" s="625" t="str">
        <f>IF(OR(G53&gt;=0.3,G53&lt;=-0.3),"超过30%","")</f>
        <v/>
      </c>
      <c r="I53" s="624">
        <f>IF(I48&lt;I49,I49/I48-1,I48/I49-1)</f>
        <v>9.2123164061415519E-2</v>
      </c>
      <c r="J53" s="625"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0.19055778152678204</v>
      </c>
      <c r="F54" s="625" t="str">
        <f>IF(OR(E54&gt;=0.2,E54&lt;=-0.2),"超过20%","")</f>
        <v/>
      </c>
      <c r="G54" s="624">
        <f>IF(G49&lt;I49,I49/G49-1,G49/I49-1)</f>
        <v>0.1482140587263252</v>
      </c>
      <c r="H54" s="625" t="str">
        <f>IF(OR(G54&gt;=0.2,G54&lt;=-0.2),"超过20%","")</f>
        <v/>
      </c>
      <c r="I54" s="624">
        <f>IF(I49&lt;E49,E49/I49-1,I49/E49-1)</f>
        <v>3.6877899620413324E-2</v>
      </c>
      <c r="J54" s="625"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0.10377807133421402</v>
      </c>
      <c r="F55" s="625" t="str">
        <f>IF(OR(E55&gt;=0.3,E55&lt;=-0.3),"超过30%","")</f>
        <v/>
      </c>
      <c r="G55" s="624">
        <f>IF(G48&lt;I48,I48/G48-1,G48/I48-1)</f>
        <v>0.1599522447733015</v>
      </c>
      <c r="H55" s="625" t="str">
        <f>IF(OR(G55&gt;=0.3,G55&lt;=-0.3),"超过30%","")</f>
        <v/>
      </c>
      <c r="I55" s="624">
        <f>IF(I48&lt;E48,E48/I48-1,I48/E48-1)</f>
        <v>5.0892634033928408E-2</v>
      </c>
      <c r="J55" s="625"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2293</v>
      </c>
      <c r="E57" s="629" t="s">
        <v>562</v>
      </c>
      <c r="F57" s="630" t="s">
        <v>563</v>
      </c>
      <c r="G57" s="3385" t="s">
        <v>2281</v>
      </c>
      <c r="H57" s="3386"/>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f>C50</f>
        <v>40812</v>
      </c>
      <c r="C58" s="633">
        <v>1</v>
      </c>
      <c r="D58" s="2228">
        <v>1</v>
      </c>
      <c r="E58" s="633">
        <f>'数据-汇总表'!E8+'数据-汇总表'!E9</f>
        <v>132334.82</v>
      </c>
      <c r="F58" s="634">
        <f t="shared" ref="F58:F67" si="15">ROUND(B58*E58/10000,0)</f>
        <v>540085</v>
      </c>
      <c r="G58" s="3387"/>
      <c r="H58" s="338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f>ROUND($C$50*C59*D59,0)</f>
        <v>0</v>
      </c>
      <c r="C59" s="376">
        <f t="shared" ref="C59:C67" si="16">IF($C$57="北京市系数",I59,J59)</f>
        <v>0</v>
      </c>
      <c r="D59" s="2229">
        <v>0.25</v>
      </c>
      <c r="E59" s="637">
        <v>0</v>
      </c>
      <c r="F59" s="634">
        <f t="shared" si="15"/>
        <v>0</v>
      </c>
      <c r="G59" s="3389"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f t="shared" ref="B60:B67" si="17">ROUND($C$50*C60*D60,0)</f>
        <v>0</v>
      </c>
      <c r="C60" s="376">
        <f t="shared" si="16"/>
        <v>0</v>
      </c>
      <c r="D60" s="2229">
        <v>0.25</v>
      </c>
      <c r="E60" s="637">
        <v>0</v>
      </c>
      <c r="F60" s="634">
        <f t="shared" si="15"/>
        <v>0</v>
      </c>
      <c r="G60" s="338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f t="shared" si="17"/>
        <v>0</v>
      </c>
      <c r="C61" s="376">
        <f t="shared" si="16"/>
        <v>0</v>
      </c>
      <c r="D61" s="2229">
        <v>0.25</v>
      </c>
      <c r="E61" s="637">
        <v>0</v>
      </c>
      <c r="F61" s="634">
        <f t="shared" si="15"/>
        <v>0</v>
      </c>
      <c r="G61" s="338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f t="shared" si="17"/>
        <v>0</v>
      </c>
      <c r="C62" s="376">
        <f t="shared" si="16"/>
        <v>0</v>
      </c>
      <c r="D62" s="2229">
        <v>0.25</v>
      </c>
      <c r="E62" s="637">
        <v>0</v>
      </c>
      <c r="F62" s="634">
        <f t="shared" si="15"/>
        <v>0</v>
      </c>
      <c r="G62" s="338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2326</v>
      </c>
      <c r="B63" s="636">
        <f t="shared" si="17"/>
        <v>0</v>
      </c>
      <c r="C63" s="376">
        <f t="shared" si="16"/>
        <v>0</v>
      </c>
      <c r="D63" s="2229">
        <v>0.25</v>
      </c>
      <c r="E63" s="639">
        <f>'数据-汇总表'!E11</f>
        <v>0</v>
      </c>
      <c r="F63" s="634">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f t="shared" si="17"/>
        <v>2551</v>
      </c>
      <c r="C64" s="376">
        <f t="shared" si="16"/>
        <v>0.25</v>
      </c>
      <c r="D64" s="2229">
        <v>0.25</v>
      </c>
      <c r="E64" s="639">
        <f>'数据-汇总表'!E12</f>
        <v>40836.03</v>
      </c>
      <c r="F64" s="634">
        <f t="shared" si="15"/>
        <v>10417</v>
      </c>
      <c r="G64" s="1946" t="s">
        <v>923</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f t="shared" si="17"/>
        <v>2041</v>
      </c>
      <c r="C65" s="376">
        <f t="shared" si="16"/>
        <v>0.2</v>
      </c>
      <c r="D65" s="2229">
        <v>0.25</v>
      </c>
      <c r="E65" s="639">
        <f>'数据-汇总表'!E13</f>
        <v>48300.160000000003</v>
      </c>
      <c r="F65" s="634">
        <f t="shared" si="15"/>
        <v>9858</v>
      </c>
      <c r="G65" s="1946" t="s">
        <v>923</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f t="shared" si="17"/>
        <v>0</v>
      </c>
      <c r="C66" s="376">
        <f t="shared" si="16"/>
        <v>0</v>
      </c>
      <c r="D66" s="2229">
        <v>0.25</v>
      </c>
      <c r="E66" s="639">
        <f>'数据-汇总表'!E14</f>
        <v>0</v>
      </c>
      <c r="F66" s="634">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f t="shared" si="17"/>
        <v>0</v>
      </c>
      <c r="C67" s="376">
        <f t="shared" si="16"/>
        <v>0</v>
      </c>
      <c r="D67" s="2229">
        <v>0.25</v>
      </c>
      <c r="E67" s="639">
        <f>'数据-汇总表'!E15</f>
        <v>0</v>
      </c>
      <c r="F67" s="634">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2294</v>
      </c>
      <c r="E68" s="641">
        <f>IF(B48="楼面地价",SUM(E58:E67),'数据-汇总表'!D3)</f>
        <v>221471.01</v>
      </c>
      <c r="F68" s="642">
        <f>IF(B48="楼面地价",SUM(F58:F67),ROUND(C50*E68/10000,0))</f>
        <v>560360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923</v>
      </c>
      <c r="B73" s="477" t="str">
        <f>"北京市平均增长率"&amp;TEXT(SUMIF(基准地价!N21:N25,A73,基准地价!P21:P25),"0.00%")</f>
        <v>北京市平均增长率2.41%</v>
      </c>
      <c r="C73" s="892">
        <v>100</v>
      </c>
      <c r="D73" s="728">
        <f>C73-1.5</f>
        <v>98.5</v>
      </c>
      <c r="E73" s="728">
        <f t="shared" ref="E73:N73" si="20">D73-1.5</f>
        <v>97</v>
      </c>
      <c r="F73" s="728">
        <f t="shared" si="20"/>
        <v>95.5</v>
      </c>
      <c r="G73" s="728">
        <f t="shared" si="20"/>
        <v>94</v>
      </c>
      <c r="H73" s="728">
        <f t="shared" si="20"/>
        <v>92.5</v>
      </c>
      <c r="I73" s="728">
        <f t="shared" si="20"/>
        <v>91</v>
      </c>
      <c r="J73" s="728">
        <f t="shared" si="20"/>
        <v>89.5</v>
      </c>
      <c r="K73" s="728">
        <f t="shared" si="20"/>
        <v>88</v>
      </c>
      <c r="L73" s="728">
        <f t="shared" si="20"/>
        <v>86.5</v>
      </c>
      <c r="M73" s="728">
        <f t="shared" si="20"/>
        <v>85</v>
      </c>
      <c r="N73" s="728">
        <f t="shared" si="20"/>
        <v>83.5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3188" t="s">
        <v>3169</v>
      </c>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v>100</v>
      </c>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v>
      </c>
      <c r="J81" s="680" t="str">
        <f t="shared" si="21"/>
        <v>（含）-</v>
      </c>
      <c r="K81" s="680" t="str">
        <f t="shared" si="21"/>
        <v>（含）-</v>
      </c>
      <c r="L81" s="680" t="str">
        <f t="shared" si="21"/>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v>0</v>
      </c>
      <c r="D82" s="539">
        <v>1</v>
      </c>
      <c r="E82" s="539">
        <v>2</v>
      </c>
      <c r="F82" s="539">
        <v>3</v>
      </c>
      <c r="G82" s="539">
        <v>4</v>
      </c>
      <c r="H82" s="539">
        <v>5</v>
      </c>
      <c r="I82" s="539">
        <v>6</v>
      </c>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98</v>
      </c>
      <c r="E91" s="677">
        <f>D91-$K17</f>
        <v>96</v>
      </c>
      <c r="F91" s="677">
        <f>E91-$K17</f>
        <v>94</v>
      </c>
      <c r="G91" s="677">
        <f>F91-$K17</f>
        <v>92</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99</v>
      </c>
      <c r="E97" s="677">
        <f>D97-$K23</f>
        <v>98</v>
      </c>
      <c r="F97" s="677">
        <f>E97-$K23</f>
        <v>97</v>
      </c>
      <c r="G97" s="677">
        <f>F97-$K23</f>
        <v>96</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2546</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597" t="s">
        <v>2548</v>
      </c>
      <c r="C104" s="2598" t="s">
        <v>2549</v>
      </c>
      <c r="D104" s="2598" t="s">
        <v>2550</v>
      </c>
      <c r="E104" s="2598" t="s">
        <v>2551</v>
      </c>
      <c r="F104" s="2598" t="s">
        <v>2552</v>
      </c>
      <c r="G104" s="2598" t="s">
        <v>2553</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ht="28.5">
      <c r="A118" s="662" t="s">
        <v>551</v>
      </c>
      <c r="B118" s="663" t="s">
        <v>593</v>
      </c>
      <c r="C118" s="702" t="str">
        <f t="shared" ref="C118:L118" si="26">C119&amp;"(含)"&amp;"-"&amp;D119</f>
        <v>0(含)-50000</v>
      </c>
      <c r="D118" s="702" t="str">
        <f t="shared" si="26"/>
        <v>50000(含)-100000</v>
      </c>
      <c r="E118" s="702" t="str">
        <f t="shared" si="26"/>
        <v>100000(含)-150000</v>
      </c>
      <c r="F118" s="702" t="str">
        <f t="shared" si="26"/>
        <v>150000(含)-200000</v>
      </c>
      <c r="G118" s="702" t="str">
        <f t="shared" si="26"/>
        <v>200000(含)-250000</v>
      </c>
      <c r="H118" s="702" t="str">
        <f t="shared" si="26"/>
        <v>250000(含)-300000</v>
      </c>
      <c r="I118" s="702" t="str">
        <f t="shared" si="26"/>
        <v>300000(含)-500000</v>
      </c>
      <c r="J118" s="3089" t="str">
        <f t="shared" si="26"/>
        <v>500000(含)-1000000</v>
      </c>
      <c r="K118" s="3089" t="str">
        <f t="shared" si="26"/>
        <v>1000000(含)-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v>0</v>
      </c>
      <c r="D119" s="728">
        <v>50000</v>
      </c>
      <c r="E119" s="728">
        <v>100000</v>
      </c>
      <c r="F119" s="728">
        <v>150000</v>
      </c>
      <c r="G119" s="728">
        <v>200000</v>
      </c>
      <c r="H119" s="728">
        <v>250000</v>
      </c>
      <c r="I119" s="728">
        <v>300000</v>
      </c>
      <c r="J119" s="2367">
        <v>500000</v>
      </c>
      <c r="K119" s="2367">
        <v>1000000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v>100</v>
      </c>
      <c r="D120" s="724">
        <f>C120+1</f>
        <v>101</v>
      </c>
      <c r="E120" s="724">
        <f t="shared" ref="E120:K120" si="27">D120+1</f>
        <v>102</v>
      </c>
      <c r="F120" s="724">
        <f t="shared" si="27"/>
        <v>103</v>
      </c>
      <c r="G120" s="724">
        <f t="shared" si="27"/>
        <v>104</v>
      </c>
      <c r="H120" s="724">
        <f t="shared" si="27"/>
        <v>105</v>
      </c>
      <c r="I120" s="724">
        <f t="shared" si="27"/>
        <v>106</v>
      </c>
      <c r="J120" s="724">
        <f t="shared" si="27"/>
        <v>107</v>
      </c>
      <c r="K120" s="724">
        <f t="shared" si="27"/>
        <v>108</v>
      </c>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3189" t="s">
        <v>3170</v>
      </c>
      <c r="D121" s="3189" t="s">
        <v>3172</v>
      </c>
      <c r="E121" s="3189" t="s">
        <v>3173</v>
      </c>
      <c r="F121" s="3189" t="s">
        <v>3174</v>
      </c>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8">C122-$K41</f>
        <v>99</v>
      </c>
      <c r="E122" s="677">
        <f t="shared" si="28"/>
        <v>98</v>
      </c>
      <c r="F122" s="677">
        <f t="shared" si="28"/>
        <v>97</v>
      </c>
      <c r="G122" s="677">
        <f t="shared" si="28"/>
        <v>96</v>
      </c>
      <c r="H122" s="677">
        <f t="shared" si="28"/>
        <v>95</v>
      </c>
      <c r="I122" s="677">
        <f t="shared" si="28"/>
        <v>94</v>
      </c>
      <c r="J122" s="677">
        <f t="shared" si="28"/>
        <v>93</v>
      </c>
      <c r="K122" s="677">
        <f t="shared" si="28"/>
        <v>92</v>
      </c>
      <c r="L122" s="677">
        <f t="shared" si="28"/>
        <v>91</v>
      </c>
      <c r="M122" s="678">
        <f t="shared" si="28"/>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3190" t="s">
        <v>3175</v>
      </c>
      <c r="D123" s="3190" t="s">
        <v>3177</v>
      </c>
      <c r="E123" s="3190" t="s">
        <v>3178</v>
      </c>
      <c r="F123" s="3189" t="s">
        <v>3179</v>
      </c>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9">C124-$K42</f>
        <v>99</v>
      </c>
      <c r="E124" s="677">
        <f t="shared" si="29"/>
        <v>98</v>
      </c>
      <c r="F124" s="677">
        <f t="shared" si="29"/>
        <v>97</v>
      </c>
      <c r="G124" s="677">
        <f t="shared" si="29"/>
        <v>96</v>
      </c>
      <c r="H124" s="677">
        <f t="shared" si="29"/>
        <v>95</v>
      </c>
      <c r="I124" s="677">
        <f t="shared" si="29"/>
        <v>94</v>
      </c>
      <c r="J124" s="677">
        <f t="shared" si="29"/>
        <v>93</v>
      </c>
      <c r="K124" s="677">
        <f t="shared" si="29"/>
        <v>92</v>
      </c>
      <c r="L124" s="677">
        <f t="shared" si="29"/>
        <v>91</v>
      </c>
      <c r="M124" s="678">
        <f t="shared" si="29"/>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2423</v>
      </c>
      <c r="C125" s="1374" t="s">
        <v>3180</v>
      </c>
      <c r="D125" s="1374" t="s">
        <v>3181</v>
      </c>
      <c r="E125" s="1374" t="s">
        <v>3182</v>
      </c>
      <c r="F125" s="1374" t="s">
        <v>3183</v>
      </c>
      <c r="G125" s="1374" t="s">
        <v>3184</v>
      </c>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t="s">
        <v>3185</v>
      </c>
      <c r="D127" s="686" t="s">
        <v>3186</v>
      </c>
      <c r="E127" s="716" t="s">
        <v>3167</v>
      </c>
      <c r="F127" s="716" t="s">
        <v>3187</v>
      </c>
      <c r="G127" s="716" t="s">
        <v>3188</v>
      </c>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31">C128-$K44</f>
        <v>99</v>
      </c>
      <c r="E128" s="677">
        <f t="shared" si="31"/>
        <v>98</v>
      </c>
      <c r="F128" s="677">
        <f t="shared" si="31"/>
        <v>97</v>
      </c>
      <c r="G128" s="677">
        <f t="shared" si="31"/>
        <v>96</v>
      </c>
      <c r="H128" s="677">
        <f t="shared" si="31"/>
        <v>95</v>
      </c>
      <c r="I128" s="677">
        <f t="shared" si="31"/>
        <v>94</v>
      </c>
      <c r="J128" s="677">
        <f t="shared" si="31"/>
        <v>93</v>
      </c>
      <c r="K128" s="677">
        <f t="shared" si="31"/>
        <v>92</v>
      </c>
      <c r="L128" s="677">
        <f t="shared" si="31"/>
        <v>91</v>
      </c>
      <c r="M128" s="678">
        <f t="shared" si="31"/>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1" sqref="L2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0">
        <f>MATCH(B1,'数据-取费表'!A6:A16,0)+5</f>
        <v>9</v>
      </c>
    </row>
    <row r="2" spans="1:31" s="2041" customFormat="1" ht="18" customHeight="1">
      <c r="A2" s="2101" t="s">
        <v>467</v>
      </c>
      <c r="B2" s="2105">
        <f ca="1">C36</f>
        <v>544626</v>
      </c>
      <c r="C2" s="2104"/>
      <c r="D2" s="2104"/>
      <c r="E2" s="2104"/>
      <c r="F2" s="2104"/>
      <c r="G2" s="2104"/>
      <c r="H2" s="2104"/>
      <c r="I2" s="2104"/>
      <c r="J2" s="2104"/>
      <c r="K2" s="2104"/>
    </row>
    <row r="3" spans="1:31" s="2041" customFormat="1" ht="18" customHeight="1">
      <c r="A3" s="2106" t="s">
        <v>1685</v>
      </c>
      <c r="B3" s="2107">
        <f ca="1">ROUND(B2*10000/IF(B1="",'数据-汇总表'!E3,INDIRECT("'数据-取费表'!K"&amp;$K$1)),0)</f>
        <v>23732</v>
      </c>
      <c r="C3" s="2104"/>
      <c r="D3" s="2104"/>
      <c r="E3" s="2104"/>
      <c r="F3" s="2104"/>
      <c r="G3" s="2104"/>
      <c r="H3" s="2104"/>
      <c r="I3" s="2104"/>
      <c r="J3" s="2104"/>
      <c r="K3" s="2104"/>
    </row>
    <row r="4" spans="1:31" s="2041" customFormat="1" ht="18" customHeight="1">
      <c r="A4" s="424" t="s">
        <v>468</v>
      </c>
      <c r="B4" s="425">
        <f ca="1">ROUND(B2*10000/IF(B1="",'数据-汇总表'!D3,INDIRECT("'数据-取费表'!R"&amp;$K$1)),0)</f>
        <v>76778</v>
      </c>
      <c r="C4" s="426"/>
      <c r="D4" s="420"/>
      <c r="E4" s="420"/>
      <c r="F4" s="420"/>
      <c r="G4" s="420"/>
      <c r="H4" s="420"/>
      <c r="I4" s="420"/>
      <c r="J4" s="420"/>
      <c r="K4" s="420"/>
    </row>
    <row r="5" spans="1:31" s="2041" customFormat="1" ht="18" customHeight="1" thickBot="1">
      <c r="A5" s="427"/>
      <c r="B5" s="428">
        <f ca="1">ROUND(B2/(IF(B1="",'数据-汇总表'!D3,INDIRECT("'数据-取费表'!R"&amp;$K$1))/666.67),0)</f>
        <v>5119</v>
      </c>
      <c r="C5" s="429" t="s">
        <v>469</v>
      </c>
      <c r="D5" s="420"/>
      <c r="E5" s="420"/>
      <c r="F5" s="420"/>
      <c r="G5" s="420"/>
      <c r="H5" s="420"/>
      <c r="I5" s="420"/>
      <c r="J5" s="420"/>
      <c r="K5" s="420"/>
    </row>
    <row r="6" spans="1:31" s="2111" customFormat="1" ht="16.5" customHeight="1">
      <c r="A6" s="2828" t="s">
        <v>1843</v>
      </c>
      <c r="B6" s="2829"/>
      <c r="C6" s="2830">
        <f ca="1">SUM(C10:K10)</f>
        <v>817050</v>
      </c>
      <c r="D6" s="2829"/>
      <c r="E6" s="2829"/>
      <c r="F6" s="2829"/>
      <c r="G6" s="2829"/>
      <c r="H6" s="2829"/>
      <c r="I6" s="2829"/>
      <c r="J6" s="2829"/>
      <c r="K6" s="2831"/>
    </row>
    <row r="7" spans="1:31" s="2113" customFormat="1" ht="15">
      <c r="A7" s="2832" t="s">
        <v>470</v>
      </c>
      <c r="B7" s="2833" t="s">
        <v>471</v>
      </c>
      <c r="C7" s="434" t="s">
        <v>923</v>
      </c>
      <c r="D7" s="434" t="s">
        <v>2976</v>
      </c>
      <c r="E7" s="434" t="s">
        <v>2981</v>
      </c>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34">
        <v>53000</v>
      </c>
      <c r="D8" s="2834">
        <f ca="1">不动产收益法!B3</f>
        <v>16096</v>
      </c>
      <c r="E8" s="2834">
        <f>'不动产比较法-车位'!B3</f>
        <v>10341</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132334.82</v>
      </c>
      <c r="D9" s="439">
        <f>SUMIF('数据-汇总表'!$C19:$C33,'剩余法-待开发'!D7,'数据-汇总表'!$E19:$E33)</f>
        <v>40836.03</v>
      </c>
      <c r="E9" s="439">
        <f>SUMIF('数据-汇总表'!$C19:$C33,'剩余法-待开发'!E7,'数据-汇总表'!$E19:$E33)</f>
        <v>48300.160000000003</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6">
        <f>ROUND(C8*C9/10000,0)</f>
        <v>701375</v>
      </c>
      <c r="D10" s="3026">
        <f ca="1">不动产收益法!B2</f>
        <v>65728</v>
      </c>
      <c r="E10" s="3026">
        <f>'不动产比较法-车位'!B2</f>
        <v>49947</v>
      </c>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8">
        <f ca="1">IF(B1="",'数据-取费表'!P16,INDIRECT("'数据-取费表'!p"&amp;$K$1)+INDIRECT("'数据-取费表'!t"&amp;$K$1))</f>
        <v>81150</v>
      </c>
      <c r="D13" s="2844"/>
      <c r="E13" s="2845"/>
      <c r="F13" s="2846"/>
      <c r="G13" s="2812"/>
      <c r="H13" s="2813"/>
      <c r="I13" s="2813"/>
      <c r="J13" s="2813"/>
      <c r="K13" s="2814"/>
    </row>
    <row r="14" spans="1:31" s="2116" customFormat="1" ht="13.5" customHeight="1">
      <c r="A14" s="2842" t="s">
        <v>1850</v>
      </c>
      <c r="B14" s="2843" t="s">
        <v>480</v>
      </c>
      <c r="C14" s="53">
        <f ca="1">ROUND(C13*F14,0)</f>
        <v>2435</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1588</v>
      </c>
      <c r="D15" s="2844"/>
      <c r="E15" s="2845"/>
      <c r="F15" s="2847">
        <f>'数据-取费表'!B34</f>
        <v>0.03</v>
      </c>
      <c r="G15" s="2812" t="s">
        <v>483</v>
      </c>
      <c r="H15" s="2813"/>
      <c r="I15" s="2813"/>
      <c r="J15" s="2813"/>
      <c r="K15" s="2814"/>
    </row>
    <row r="16" spans="1:31" s="2117" customFormat="1" ht="13.5" customHeight="1">
      <c r="A16" s="2842" t="s">
        <v>1852</v>
      </c>
      <c r="B16" s="2843" t="s">
        <v>484</v>
      </c>
      <c r="C16" s="53">
        <f ca="1">ROUND(D16*E16/10000,0)</f>
        <v>4590</v>
      </c>
      <c r="D16" s="2844">
        <f ca="1">IF(B1="",'数据-汇总表'!E3,INDIRECT("'数据-取费表'!K"&amp;$K$1)+INDIRECT("'数据-取费表'!S"&amp;$K$1))</f>
        <v>229492.13999999998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1217</v>
      </c>
      <c r="D17" s="473"/>
      <c r="E17" s="2848"/>
      <c r="F17" s="2849">
        <f>'数据-取费表'!B36</f>
        <v>1.4999999999999999E-2</v>
      </c>
      <c r="G17" s="259" t="s">
        <v>486</v>
      </c>
      <c r="H17" s="2815"/>
      <c r="I17" s="2815"/>
      <c r="J17" s="2815"/>
      <c r="K17" s="277"/>
    </row>
    <row r="18" spans="1:14" s="2116" customFormat="1" ht="13.5" customHeight="1">
      <c r="A18" s="2850" t="s">
        <v>1854</v>
      </c>
      <c r="B18" s="2851" t="s">
        <v>487</v>
      </c>
      <c r="C18" s="2852">
        <f ca="1">SUM(C13:C17)</f>
        <v>90980</v>
      </c>
      <c r="D18" s="2853"/>
      <c r="E18" s="466"/>
      <c r="F18" s="466"/>
      <c r="G18" s="2816" t="s">
        <v>2428</v>
      </c>
      <c r="H18" s="2817"/>
      <c r="I18" s="2817"/>
      <c r="J18" s="2817"/>
      <c r="K18" s="2818"/>
    </row>
    <row r="19" spans="1:14" s="2116" customFormat="1" ht="13.5" customHeight="1">
      <c r="A19" s="2850" t="s">
        <v>1855</v>
      </c>
      <c r="B19" s="2851" t="s">
        <v>488</v>
      </c>
      <c r="C19" s="2808">
        <f ca="1">ROUND(D19*E19/10000,0)</f>
        <v>0</v>
      </c>
      <c r="D19" s="2854">
        <f ca="1">D16</f>
        <v>229492.13999999998</v>
      </c>
      <c r="E19" s="2808">
        <f>'数据-取费表'!B32</f>
        <v>0</v>
      </c>
      <c r="F19" s="466"/>
      <c r="G19" s="2812" t="s">
        <v>489</v>
      </c>
      <c r="H19" s="2813"/>
      <c r="I19" s="2817"/>
      <c r="J19" s="2817"/>
      <c r="K19" s="2818"/>
    </row>
    <row r="20" spans="1:14" s="2116" customFormat="1" ht="13.5" customHeight="1">
      <c r="A20" s="2850" t="s">
        <v>1856</v>
      </c>
      <c r="B20" s="2851" t="s">
        <v>490</v>
      </c>
      <c r="C20" s="2808">
        <f ca="1">C21+C22-IF(B1="",'数据-取费表'!B29,IF(G20="已全部缴纳",C21+C22,H20))</f>
        <v>4060</v>
      </c>
      <c r="D20" s="2854"/>
      <c r="E20" s="2808"/>
      <c r="F20" s="2855"/>
      <c r="G20" s="3085"/>
      <c r="H20" s="2810"/>
      <c r="I20" s="2811" t="s">
        <v>2648</v>
      </c>
      <c r="J20" s="2817"/>
      <c r="K20" s="2818"/>
    </row>
    <row r="21" spans="1:14" s="2116" customFormat="1" ht="13.5" customHeight="1">
      <c r="A21" s="2842" t="s">
        <v>1857</v>
      </c>
      <c r="B21" s="2843" t="s">
        <v>491</v>
      </c>
      <c r="C21" s="53">
        <f ca="1">ROUND(D21*E21/10000,0)</f>
        <v>2117</v>
      </c>
      <c r="D21" s="2844">
        <f ca="1">IF(B1="",'数据-汇总表'!E5,IF(INDIRECT("'数据-取费表'!c"&amp;$K$1)="住宅",INDIRECT("'数据-取费表'!k"&amp;$K$1),0))</f>
        <v>132334.82</v>
      </c>
      <c r="E21" s="53">
        <f>'数据-取费表'!B27</f>
        <v>160</v>
      </c>
      <c r="F21" s="2847"/>
      <c r="G21" s="26"/>
      <c r="H21" s="51"/>
      <c r="I21" s="51"/>
      <c r="J21" s="51"/>
      <c r="K21" s="2819"/>
    </row>
    <row r="22" spans="1:14" s="2116" customFormat="1" ht="13.5" customHeight="1">
      <c r="A22" s="2842" t="s">
        <v>1858</v>
      </c>
      <c r="B22" s="2843" t="s">
        <v>492</v>
      </c>
      <c r="C22" s="53">
        <f ca="1">ROUND(D22*E22/10000,0)</f>
        <v>1943</v>
      </c>
      <c r="D22" s="2844">
        <f ca="1">IF(B1="",'数据-汇总表'!E6,IF(INDIRECT("'数据-取费表'!c"&amp;$K$1)="住宅",INDIRECT("'数据-取费表'!s"&amp;$K$1),INDIRECT("'数据-取费表'!k"&amp;$K$1)+INDIRECT("'数据-取费表'!s"&amp;$K$1)))</f>
        <v>97157.319999999978</v>
      </c>
      <c r="E22" s="53">
        <f>'数据-取费表'!B28</f>
        <v>200</v>
      </c>
      <c r="F22" s="2847"/>
      <c r="G22" s="26"/>
      <c r="H22" s="51"/>
      <c r="I22" s="51"/>
      <c r="J22" s="51"/>
      <c r="K22" s="2819"/>
    </row>
    <row r="23" spans="1:14" s="2116" customFormat="1" ht="13.5" customHeight="1">
      <c r="A23" s="2850" t="s">
        <v>1859</v>
      </c>
      <c r="B23" s="3032" t="s">
        <v>2831</v>
      </c>
      <c r="C23" s="2852">
        <f ca="1">ROUND((C18+C19+C20)*F23,0)</f>
        <v>1426</v>
      </c>
      <c r="D23" s="466"/>
      <c r="E23" s="466"/>
      <c r="F23" s="2856">
        <f>'数据-取费表'!B37</f>
        <v>1.4999999999999999E-2</v>
      </c>
      <c r="G23" s="2812" t="s">
        <v>2429</v>
      </c>
      <c r="H23" s="2813"/>
      <c r="I23" s="2813"/>
      <c r="J23" s="2813"/>
      <c r="K23" s="2814"/>
      <c r="L23" s="2118"/>
      <c r="M23" s="2118"/>
      <c r="N23" s="2118"/>
    </row>
    <row r="24" spans="1:14" s="2116" customFormat="1" ht="13.5" customHeight="1">
      <c r="A24" s="2850" t="s">
        <v>1860</v>
      </c>
      <c r="B24" s="3032" t="s">
        <v>2834</v>
      </c>
      <c r="C24" s="2852">
        <f ca="1">ROUND(C6*F24,0)</f>
        <v>16341</v>
      </c>
      <c r="D24" s="473"/>
      <c r="E24" s="471"/>
      <c r="F24" s="2856">
        <f>'数据-取费表'!B38</f>
        <v>0.02</v>
      </c>
      <c r="G24" s="2821" t="s">
        <v>499</v>
      </c>
      <c r="H24" s="2815"/>
      <c r="I24" s="2815"/>
      <c r="J24" s="2815"/>
      <c r="K24" s="277"/>
      <c r="L24" s="2118"/>
      <c r="M24" s="2118"/>
      <c r="N24" s="2118"/>
    </row>
    <row r="25" spans="1:14" s="2119" customFormat="1" ht="13.5" customHeight="1">
      <c r="A25" s="2850" t="s">
        <v>1861</v>
      </c>
      <c r="B25" s="3032" t="s">
        <v>2832</v>
      </c>
      <c r="C25" s="465">
        <f>ROUND(F25/(1+'数据-取费表'!C42),4)</f>
        <v>2.9000000000000001E-2</v>
      </c>
      <c r="D25" s="460" t="s">
        <v>2826</v>
      </c>
      <c r="E25" s="467"/>
      <c r="F25" s="2856">
        <f>'数据-取费表'!B48+'数据-取费表'!B49</f>
        <v>3.0499999999999999E-2</v>
      </c>
      <c r="G25" s="2820" t="s">
        <v>2289</v>
      </c>
      <c r="H25" s="2813"/>
      <c r="I25" s="2813"/>
      <c r="J25" s="2813"/>
      <c r="K25" s="2814"/>
    </row>
    <row r="26" spans="1:14" s="2118" customFormat="1" ht="13.5" customHeight="1">
      <c r="A26" s="2850" t="s">
        <v>1862</v>
      </c>
      <c r="B26" s="3033" t="s">
        <v>2833</v>
      </c>
      <c r="C26" s="2857">
        <f ca="1">C28</f>
        <v>5358</v>
      </c>
      <c r="D26" s="465">
        <f ca="1">C27</f>
        <v>0.10009999999999999</v>
      </c>
      <c r="E26" s="467" t="s">
        <v>495</v>
      </c>
      <c r="F26" s="469">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1" t="s">
        <v>1857</v>
      </c>
      <c r="B27" s="2858" t="s">
        <v>496</v>
      </c>
      <c r="C27" s="2859">
        <f ca="1">ROUND(IF('数据-取费表'!B22&lt;=1,(1+C25)*F26*'数据-取费表'!B24,(1+C25)*(POWER((1+F26),'数据-取费表'!B24)-1)),4)</f>
        <v>0.10009999999999999</v>
      </c>
      <c r="D27" s="470"/>
      <c r="E27" s="471"/>
      <c r="F27" s="472"/>
      <c r="G27" s="2572" t="str">
        <f>IF('数据-取费表'!B22&lt;=1,"（1+取得税费率/(1+5%)）×年利率×建设期","（1+取得税费率）/(1+5%)×((1+年利率)^建设期-1)")</f>
        <v>（1+取得税费率）/(1+5%)×((1+年利率)^建设期-1)</v>
      </c>
      <c r="H27" s="2815"/>
      <c r="I27" s="2815"/>
      <c r="J27" s="2815"/>
      <c r="K27" s="277"/>
    </row>
    <row r="28" spans="1:14" s="2120" customFormat="1" ht="13.5" customHeight="1">
      <c r="A28" s="801" t="s">
        <v>1858</v>
      </c>
      <c r="B28" s="2858" t="s">
        <v>2835</v>
      </c>
      <c r="C28" s="2860">
        <f ca="1">ROUND(IF('数据-取费表'!B22&lt;=1,(C18+C19+C20+C23+C24)*F26*'数据-取费表'!B24/2,(C18+C19+C20+C23+C24)*(POWER((1+F26),'数据-取费表'!B24/2)-1)),0)</f>
        <v>5358</v>
      </c>
      <c r="D28" s="470"/>
      <c r="E28" s="471"/>
      <c r="F28" s="472"/>
      <c r="G28" s="2572" t="str">
        <f>IF('数据-取费表'!B22&lt;=1,"（1）-（4）项×年利率×建设期÷2","（1）-（4）项×((1+年利率)^(建设期÷2)-1)")</f>
        <v>（1）-（4）项×((1+年利率)^(建设期÷2)-1)</v>
      </c>
      <c r="H28" s="2815"/>
      <c r="I28" s="2815"/>
      <c r="J28" s="2815"/>
      <c r="K28" s="277"/>
    </row>
    <row r="29" spans="1:14" s="2120" customFormat="1" ht="13.5" customHeight="1">
      <c r="A29" s="2861" t="s">
        <v>1863</v>
      </c>
      <c r="B29" s="2851" t="s">
        <v>497</v>
      </c>
      <c r="C29" s="2852">
        <f ca="1">ROUND(C6*F29/(1+'数据-取费表'!C42),0)</f>
        <v>43576</v>
      </c>
      <c r="D29" s="466"/>
      <c r="E29" s="466"/>
      <c r="F29" s="3034">
        <f>'数据-取费表'!B41</f>
        <v>5.6000000000000001E-2</v>
      </c>
      <c r="G29" s="2821" t="s">
        <v>498</v>
      </c>
      <c r="H29" s="2813"/>
      <c r="I29" s="2813"/>
      <c r="J29" s="2813"/>
      <c r="K29" s="2814"/>
    </row>
    <row r="30" spans="1:14" s="2121" customFormat="1" ht="13.5" customHeight="1">
      <c r="A30" s="1634" t="s">
        <v>1864</v>
      </c>
      <c r="B30" s="2862" t="s">
        <v>500</v>
      </c>
      <c r="C30" s="2857">
        <f ca="1">C31</f>
        <v>161741</v>
      </c>
      <c r="D30" s="475">
        <f ca="1">C32</f>
        <v>0.12909999999999999</v>
      </c>
      <c r="E30" s="467" t="s">
        <v>495</v>
      </c>
      <c r="F30" s="469"/>
      <c r="G30" s="2820" t="s">
        <v>2960</v>
      </c>
      <c r="H30" s="2813"/>
      <c r="I30" s="2813"/>
      <c r="J30" s="2813"/>
      <c r="K30" s="2814"/>
    </row>
    <row r="31" spans="1:14" s="2120" customFormat="1" ht="13.5" customHeight="1">
      <c r="A31" s="801" t="s">
        <v>1857</v>
      </c>
      <c r="B31" s="2858"/>
      <c r="C31" s="448">
        <f ca="1">C18+C19+C20+C23+C24+C26+C29</f>
        <v>161741</v>
      </c>
      <c r="D31" s="470"/>
      <c r="E31" s="471"/>
      <c r="F31" s="472"/>
      <c r="G31" s="259"/>
      <c r="H31" s="2815"/>
      <c r="I31" s="2815"/>
      <c r="J31" s="2815"/>
      <c r="K31" s="277"/>
    </row>
    <row r="32" spans="1:14" s="2120" customFormat="1" ht="13.5" customHeight="1">
      <c r="A32" s="801" t="s">
        <v>1858</v>
      </c>
      <c r="B32" s="2858"/>
      <c r="C32" s="53">
        <f ca="1">ROUND(C25+D26,4)</f>
        <v>0.12909999999999999</v>
      </c>
      <c r="D32" s="470"/>
      <c r="E32" s="471"/>
      <c r="F32" s="472"/>
      <c r="G32" s="259"/>
      <c r="H32" s="2815"/>
      <c r="I32" s="2815"/>
      <c r="J32" s="2815"/>
      <c r="K32" s="277"/>
    </row>
    <row r="33" spans="1:11" s="2122" customFormat="1" ht="13.5" customHeight="1">
      <c r="A33" s="3031" t="s">
        <v>2830</v>
      </c>
      <c r="B33" s="3029" t="s">
        <v>2828</v>
      </c>
      <c r="C33" s="476">
        <f ca="1">C35</f>
        <v>6768</v>
      </c>
      <c r="D33" s="465">
        <f ca="1">C34</f>
        <v>6.1699999999999998E-2</v>
      </c>
      <c r="E33" s="467" t="s">
        <v>495</v>
      </c>
      <c r="F33" s="477">
        <f ca="1">IF(B1="",'数据-取费表'!Q16,INDIRECT("'数据-取费表'!q"&amp;$K$1))</f>
        <v>0.06</v>
      </c>
      <c r="G33" s="2816"/>
      <c r="H33" s="2817"/>
      <c r="I33" s="2817"/>
      <c r="J33" s="2817"/>
      <c r="K33" s="2818"/>
    </row>
    <row r="34" spans="1:11" s="2123" customFormat="1" ht="13.5" customHeight="1">
      <c r="A34" s="373" t="s">
        <v>1857</v>
      </c>
      <c r="B34" s="2863" t="s">
        <v>501</v>
      </c>
      <c r="C34" s="470">
        <f ca="1">ROUND((1+C25)*F33,4)</f>
        <v>6.1699999999999998E-2</v>
      </c>
      <c r="D34" s="470"/>
      <c r="E34" s="471"/>
      <c r="F34" s="478"/>
      <c r="G34" s="259" t="s">
        <v>2290</v>
      </c>
      <c r="H34" s="2815"/>
      <c r="I34" s="2815"/>
      <c r="J34" s="2815"/>
      <c r="K34" s="277"/>
    </row>
    <row r="35" spans="1:11" s="2123" customFormat="1" ht="13.5" customHeight="1" thickBot="1">
      <c r="A35" s="1635" t="s">
        <v>1858</v>
      </c>
      <c r="B35" s="3030" t="s">
        <v>2836</v>
      </c>
      <c r="C35" s="1627">
        <f ca="1">ROUND((C18+C19+C20+C23+C24)*F33,0)</f>
        <v>6768</v>
      </c>
      <c r="D35" s="1628"/>
      <c r="E35" s="2864"/>
      <c r="F35" s="1629"/>
      <c r="G35" s="2822"/>
      <c r="H35" s="2823"/>
      <c r="I35" s="2823"/>
      <c r="J35" s="2823"/>
      <c r="K35" s="2824"/>
    </row>
    <row r="36" spans="1:11" s="2085" customFormat="1" ht="13.5" customHeight="1" thickBot="1">
      <c r="A36" s="282" t="s">
        <v>1845</v>
      </c>
      <c r="B36" s="2826"/>
      <c r="C36" s="2865">
        <f ca="1">ROUND((C6-C30-C33)/(1+D30+D33),0)</f>
        <v>544626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1" t="str">
        <f>项目基本情况!B1</f>
        <v>北京市海淀区“海淀北部地区整体开发”翠湖科技园HD00-0303-6022地块R2二类居住用地出让国有建设用地使用权抵押价格预评估</v>
      </c>
      <c r="C37" s="3191"/>
      <c r="D37" s="3191"/>
      <c r="E37" s="3191"/>
      <c r="F37" s="3191"/>
      <c r="G37" s="3191"/>
      <c r="H37" s="3191"/>
      <c r="I37" s="3191"/>
    </row>
    <row r="38" spans="1:9">
      <c r="A38" s="1655"/>
      <c r="B38" s="1655"/>
    </row>
    <row r="39" spans="1:9">
      <c r="A39" s="1653" t="s">
        <v>1902</v>
      </c>
      <c r="B39" s="1653" t="s">
        <v>2046</v>
      </c>
    </row>
    <row r="40" spans="1:9">
      <c r="A40" s="1653"/>
      <c r="B40" s="1653" t="str">
        <f>项目基本情况!B5</f>
        <v>葛洲坝（北京）发展有限公司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郑燚、赵雯</v>
      </c>
    </row>
    <row r="47" spans="1:9">
      <c r="A47" s="1653"/>
      <c r="B47" s="1653"/>
    </row>
    <row r="48" spans="1:9">
      <c r="A48" s="1653" t="s">
        <v>1902</v>
      </c>
      <c r="B48" s="1653" t="s">
        <v>2048</v>
      </c>
    </row>
    <row r="49" spans="2:2">
      <c r="B49" s="1653" t="str">
        <f>"康正预评字"&amp;项目基本情况!B2&amp;"号"</f>
        <v>康正预评字2018-1-0699-P01DYGJ1号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09"/>
      <c r="C1" s="2104"/>
      <c r="D1" s="2104"/>
      <c r="E1" s="2104"/>
      <c r="F1" s="2104"/>
      <c r="G1" s="2104"/>
      <c r="H1" s="2104"/>
      <c r="I1" s="2104"/>
      <c r="J1" s="2104"/>
      <c r="K1" s="420">
        <f>MATCH(B1,'数据-取费表'!A6:A16,0)+5</f>
        <v>9</v>
      </c>
    </row>
    <row r="2" spans="1:41" s="2041" customFormat="1" ht="18" customHeight="1">
      <c r="A2" s="421" t="s">
        <v>467</v>
      </c>
      <c r="B2" s="422">
        <f ca="1">C32</f>
        <v>0</v>
      </c>
      <c r="C2" s="2104"/>
      <c r="D2" s="2104"/>
      <c r="E2" s="2104"/>
      <c r="F2" s="2104"/>
      <c r="G2" s="2104"/>
      <c r="H2" s="2104"/>
      <c r="I2" s="2104"/>
      <c r="J2" s="2104"/>
      <c r="K2" s="2104"/>
    </row>
    <row r="3" spans="1:41" s="2041" customFormat="1" ht="18" customHeight="1">
      <c r="A3" s="1378" t="s">
        <v>1685</v>
      </c>
      <c r="B3" s="423">
        <f ca="1">ROUND(B2*10000/IF(B1="",'数据-汇总表'!E3,INDIRECT("'数据-取费表'!K"&amp;$K$1)),0)</f>
        <v>0</v>
      </c>
      <c r="C3" s="2104"/>
      <c r="D3" s="2104"/>
      <c r="E3" s="2104"/>
      <c r="F3" s="2104"/>
      <c r="G3" s="2104"/>
      <c r="H3" s="2104"/>
      <c r="I3" s="2104"/>
      <c r="J3" s="2104"/>
      <c r="K3" s="2104"/>
    </row>
    <row r="4" spans="1:41" s="2041" customFormat="1" ht="18" customHeight="1">
      <c r="A4" s="424" t="s">
        <v>468</v>
      </c>
      <c r="B4" s="425">
        <f ca="1">ROUND(B2*10000/IF(B1="",'数据-汇总表'!D3,INDIRECT("'数据-取费表'!R"&amp;$K$1)),0)</f>
        <v>0</v>
      </c>
      <c r="C4" s="2061"/>
      <c r="D4" s="2104"/>
      <c r="E4" s="2104"/>
      <c r="F4" s="2104"/>
      <c r="G4" s="2104"/>
      <c r="H4" s="2104"/>
      <c r="I4" s="2104"/>
      <c r="J4" s="2104"/>
      <c r="K4" s="2104"/>
    </row>
    <row r="5" spans="1:41" s="2041" customFormat="1" ht="18" customHeight="1" thickBot="1">
      <c r="A5" s="427"/>
      <c r="B5" s="428">
        <f ca="1">ROUND(B2/(IF(B1="",'数据-汇总表'!D3,INDIRECT("'数据-取费表'!R"&amp;$K$1))/666.67),0)</f>
        <v>0</v>
      </c>
      <c r="C5" s="429" t="s">
        <v>469</v>
      </c>
      <c r="D5" s="2104"/>
      <c r="E5" s="2104"/>
      <c r="F5" s="2104"/>
      <c r="G5" s="2104"/>
      <c r="H5" s="2104"/>
      <c r="I5" s="2104"/>
      <c r="J5" s="2104"/>
      <c r="K5" s="2104"/>
    </row>
    <row r="6" spans="1:41" s="2111" customFormat="1" ht="16.5" customHeight="1">
      <c r="A6" s="430" t="s">
        <v>2649</v>
      </c>
      <c r="B6" s="431"/>
      <c r="C6" s="1622">
        <f>SUM(C10:K10)</f>
        <v>0</v>
      </c>
      <c r="D6" s="2109"/>
      <c r="E6" s="2109"/>
      <c r="F6" s="2109"/>
      <c r="G6" s="2109"/>
      <c r="H6" s="2109"/>
      <c r="I6" s="2109"/>
      <c r="J6" s="2109"/>
      <c r="K6" s="2110"/>
    </row>
    <row r="7" spans="1:41" s="2113" customFormat="1" ht="15">
      <c r="A7" s="432" t="s">
        <v>470</v>
      </c>
      <c r="B7" s="433" t="s">
        <v>471</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81150</v>
      </c>
      <c r="D13" s="449"/>
      <c r="E13" s="363"/>
      <c r="F13" s="450"/>
      <c r="G13" s="442"/>
      <c r="H13" s="445"/>
      <c r="I13" s="445"/>
      <c r="J13" s="445"/>
      <c r="K13" s="446"/>
    </row>
    <row r="14" spans="1:41" s="2116" customFormat="1" ht="13.5" customHeight="1">
      <c r="A14" s="1632" t="s">
        <v>1850</v>
      </c>
      <c r="B14" s="447" t="s">
        <v>480</v>
      </c>
      <c r="C14" s="53">
        <f ca="1">ROUND(C13*F14,0)</f>
        <v>2435</v>
      </c>
      <c r="D14" s="449"/>
      <c r="E14" s="363"/>
      <c r="F14" s="451">
        <f>'数据-取费表'!B33</f>
        <v>0.03</v>
      </c>
      <c r="G14" s="442" t="s">
        <v>502</v>
      </c>
      <c r="H14" s="445"/>
      <c r="I14" s="445"/>
      <c r="J14" s="445"/>
      <c r="K14" s="446"/>
    </row>
    <row r="15" spans="1:41" s="2116" customFormat="1" ht="13.5" customHeight="1">
      <c r="A15" s="1632" t="s">
        <v>1851</v>
      </c>
      <c r="B15" s="447" t="s">
        <v>482</v>
      </c>
      <c r="C15" s="53">
        <f ca="1">ROUND(IF(B1="",SUMIF('数据-取费表'!C:C,"住宅",'数据-取费表'!M:M)*F15,IF(INDIRECT("'数据-取费表'!c"&amp;$K$1)="住宅",INDIRECT("'数据-取费表'!M"&amp;$K$1)*F15,0)),0)</f>
        <v>1588</v>
      </c>
      <c r="D15" s="449"/>
      <c r="E15" s="363"/>
      <c r="F15" s="451">
        <f>'数据-取费表'!B34</f>
        <v>0.03</v>
      </c>
      <c r="G15" s="442" t="s">
        <v>502</v>
      </c>
      <c r="H15" s="445"/>
      <c r="I15" s="445"/>
      <c r="J15" s="445"/>
      <c r="K15" s="446"/>
    </row>
    <row r="16" spans="1:41" s="2117" customFormat="1" ht="13.5" customHeight="1">
      <c r="A16" s="1632" t="s">
        <v>1852</v>
      </c>
      <c r="B16" s="447" t="s">
        <v>484</v>
      </c>
      <c r="C16" s="53">
        <f ca="1">ROUND(D16*E16/10000,0)</f>
        <v>4590</v>
      </c>
      <c r="D16" s="449">
        <f ca="1">IF(B1="",'数据-汇总表'!E3,INDIRECT("'数据-取费表'!K"&amp;$K$1)+INDIRECT("'数据-取费表'!S"&amp;$K$1))</f>
        <v>229492.13999999998</v>
      </c>
      <c r="E16" s="53">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1217</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90980</v>
      </c>
      <c r="D18" s="459"/>
      <c r="E18" s="460"/>
      <c r="F18" s="460"/>
      <c r="G18" s="1325" t="s">
        <v>2430</v>
      </c>
      <c r="H18" s="445"/>
      <c r="I18" s="445"/>
      <c r="J18" s="445"/>
      <c r="K18" s="446"/>
    </row>
    <row r="19" spans="1:14" s="2119" customFormat="1" ht="13.5" customHeight="1">
      <c r="A19" s="1633" t="s">
        <v>1855</v>
      </c>
      <c r="B19" s="457" t="s">
        <v>493</v>
      </c>
      <c r="C19" s="458">
        <f ca="1">ROUND(C18*F19,0)</f>
        <v>1365</v>
      </c>
      <c r="D19" s="460"/>
      <c r="E19" s="460"/>
      <c r="F19" s="464">
        <f>'数据-取费表'!B37</f>
        <v>1.4999999999999999E-2</v>
      </c>
      <c r="G19" s="442" t="s">
        <v>503</v>
      </c>
      <c r="H19" s="445"/>
      <c r="I19" s="445"/>
      <c r="J19" s="445"/>
      <c r="K19" s="446"/>
      <c r="L19" s="2121"/>
      <c r="M19" s="2121"/>
      <c r="N19" s="2121"/>
    </row>
    <row r="20" spans="1:14" s="2119" customFormat="1" ht="13.5" customHeight="1">
      <c r="A20" s="1633" t="s">
        <v>1856</v>
      </c>
      <c r="B20" s="457" t="s">
        <v>504</v>
      </c>
      <c r="C20" s="3027">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4386</v>
      </c>
      <c r="D21" s="465">
        <f ca="1">C23</f>
        <v>1E-3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2452</v>
      </c>
    </row>
    <row r="22" spans="1:14" s="2120" customFormat="1" ht="13.5" customHeight="1">
      <c r="A22" s="1632" t="s">
        <v>1849</v>
      </c>
      <c r="B22" s="1326" t="s">
        <v>2433</v>
      </c>
      <c r="C22" s="485">
        <f ca="1">ROUND(IF('数据-取费表'!B22&lt;=1,(C18+C19)*F21*'数据-取费表'!B20/2,(C18+C19)*(POWER((1+F21),'数据-取费表'!B20/2)-1)),0)</f>
        <v>4386</v>
      </c>
      <c r="D22" s="470"/>
      <c r="E22" s="471"/>
      <c r="F22" s="472"/>
      <c r="G22" s="2567"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1E-3</v>
      </c>
      <c r="D23" s="470"/>
      <c r="E23" s="471"/>
      <c r="F23" s="472"/>
      <c r="G23" s="2567"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29" t="s">
        <v>2829</v>
      </c>
      <c r="C24" s="476">
        <f ca="1">C25</f>
        <v>5541</v>
      </c>
      <c r="D24" s="487">
        <f ca="1">C26</f>
        <v>1.1999999999999999E-3</v>
      </c>
      <c r="E24" s="467" t="s">
        <v>507</v>
      </c>
      <c r="F24" s="477">
        <f ca="1">IF(B1="",'数据-取费表'!Q16,INDIRECT("'数据-取费表'!q"&amp;$K$1))</f>
        <v>0.06</v>
      </c>
      <c r="G24" s="442"/>
      <c r="H24" s="445"/>
      <c r="I24" s="445"/>
      <c r="J24" s="445"/>
      <c r="K24" s="446"/>
    </row>
    <row r="25" spans="1:14" s="2120" customFormat="1" ht="13.5" customHeight="1">
      <c r="A25" s="1632" t="s">
        <v>1849</v>
      </c>
      <c r="B25" s="1326" t="s">
        <v>2434</v>
      </c>
      <c r="C25" s="488">
        <f ca="1">ROUND((C18+C19)*F24,0)</f>
        <v>5541</v>
      </c>
      <c r="D25" s="470"/>
      <c r="E25" s="471"/>
      <c r="F25" s="478"/>
      <c r="G25" s="1324" t="s">
        <v>2431</v>
      </c>
      <c r="H25" s="455"/>
      <c r="I25" s="455"/>
      <c r="J25" s="455"/>
      <c r="K25" s="456"/>
    </row>
    <row r="26" spans="1:14" s="2120" customFormat="1" ht="13.5" customHeight="1">
      <c r="A26" s="1632" t="s">
        <v>1850</v>
      </c>
      <c r="B26" s="1326" t="s">
        <v>509</v>
      </c>
      <c r="C26" s="489">
        <f ca="1">ROUND(F20*F24,4)</f>
        <v>1.1999999999999999E-3</v>
      </c>
      <c r="D26" s="470"/>
      <c r="E26" s="479"/>
      <c r="F26" s="478"/>
      <c r="G26" s="1324" t="s">
        <v>510</v>
      </c>
      <c r="H26" s="455"/>
      <c r="I26" s="455"/>
      <c r="J26" s="455"/>
      <c r="K26" s="456"/>
    </row>
    <row r="27" spans="1:14" s="2120" customFormat="1" ht="13.5" customHeight="1">
      <c r="A27" s="1636" t="s">
        <v>1868</v>
      </c>
      <c r="B27" s="457" t="s">
        <v>511</v>
      </c>
      <c r="C27" s="3028">
        <f>ROUND(F27/(1+'数据-取费表'!C42),4)</f>
        <v>5.33E-2</v>
      </c>
      <c r="D27" s="460" t="s">
        <v>2827</v>
      </c>
      <c r="E27" s="460"/>
      <c r="F27" s="464">
        <f>'数据-取费表'!B41</f>
        <v>5.6000000000000001E-2</v>
      </c>
      <c r="G27" s="1960" t="s">
        <v>2291</v>
      </c>
      <c r="H27" s="445"/>
      <c r="I27" s="445"/>
      <c r="J27" s="445"/>
      <c r="K27" s="446"/>
    </row>
    <row r="28" spans="1:14" s="2121" customFormat="1" ht="13.5" customHeight="1">
      <c r="A28" s="1636" t="s">
        <v>1869</v>
      </c>
      <c r="B28" s="474" t="s">
        <v>512</v>
      </c>
      <c r="C28" s="468">
        <f ca="1">ROUND((C18+C19+C21+C24)/(1-C20-D21-D24-C27),0)</f>
        <v>110624</v>
      </c>
      <c r="D28" s="475"/>
      <c r="E28" s="467"/>
      <c r="F28" s="469"/>
      <c r="G28" s="1325" t="s">
        <v>2432</v>
      </c>
      <c r="H28" s="445"/>
      <c r="I28" s="445"/>
      <c r="J28" s="445"/>
      <c r="K28" s="446"/>
    </row>
    <row r="29" spans="1:14" s="2121" customFormat="1" ht="13.5" customHeight="1">
      <c r="A29" s="1636" t="s">
        <v>1870</v>
      </c>
      <c r="B29" s="474" t="s">
        <v>513</v>
      </c>
      <c r="C29" s="490">
        <f ca="1">IF(B1="",'数据-取费表'!N16,INDIRECT("'数据-取费表'!N"&amp;$K$1))</f>
        <v>0</v>
      </c>
      <c r="D29" s="491"/>
      <c r="E29" s="492"/>
      <c r="F29" s="493"/>
      <c r="G29" s="442"/>
      <c r="H29" s="445"/>
      <c r="I29" s="445"/>
      <c r="J29" s="445"/>
      <c r="K29" s="446"/>
    </row>
    <row r="30" spans="1:14" s="2121" customFormat="1" ht="13.5" customHeight="1">
      <c r="A30" s="441">
        <v>2</v>
      </c>
      <c r="B30" s="474" t="s">
        <v>514</v>
      </c>
      <c r="C30" s="495">
        <f ca="1">ROUND(C28*C29,0)</f>
        <v>0</v>
      </c>
      <c r="D30" s="491"/>
      <c r="E30" s="496"/>
      <c r="F30" s="497"/>
      <c r="G30" s="1327" t="s">
        <v>515</v>
      </c>
      <c r="H30" s="494"/>
      <c r="I30" s="494"/>
      <c r="J30" s="445"/>
      <c r="K30" s="446"/>
    </row>
    <row r="31" spans="1:14" s="2126" customFormat="1" ht="13.5" customHeight="1">
      <c r="A31" s="2482" t="s">
        <v>1866</v>
      </c>
      <c r="B31" s="1328"/>
      <c r="C31" s="498">
        <f>ROUND(C6*F31/(1+'数据-取费表'!C42),0)</f>
        <v>0</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3"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365" t="s">
        <v>522</v>
      </c>
      <c r="D6" s="3366"/>
      <c r="E6" s="3399" t="s">
        <v>523</v>
      </c>
      <c r="F6" s="3400"/>
      <c r="G6" s="3365" t="s">
        <v>524</v>
      </c>
      <c r="H6" s="3366"/>
      <c r="I6" s="3365" t="s">
        <v>525</v>
      </c>
      <c r="J6" s="3366"/>
      <c r="K6" s="512" t="s">
        <v>526</v>
      </c>
      <c r="L6" s="2133"/>
      <c r="M6" s="2134"/>
      <c r="N6" s="2134"/>
      <c r="O6" s="2134"/>
      <c r="P6" s="3367" t="s">
        <v>527</v>
      </c>
      <c r="Q6" s="3368"/>
      <c r="R6" s="3373" t="s">
        <v>523</v>
      </c>
      <c r="S6" s="3374"/>
      <c r="T6" s="3373" t="s">
        <v>524</v>
      </c>
      <c r="U6" s="3374"/>
      <c r="V6" s="3360" t="s">
        <v>525</v>
      </c>
      <c r="W6" s="3360"/>
      <c r="X6" s="1566"/>
      <c r="Y6" s="3373" t="s">
        <v>527</v>
      </c>
      <c r="Z6" s="3374"/>
      <c r="AA6" s="3362" t="s">
        <v>523</v>
      </c>
      <c r="AB6" s="3363" t="s">
        <v>524</v>
      </c>
      <c r="AC6" s="3362" t="s">
        <v>525</v>
      </c>
    </row>
    <row r="7" spans="1:29" ht="15">
      <c r="A7" s="513"/>
      <c r="B7" s="514"/>
      <c r="C7" s="3381" t="s">
        <v>2915</v>
      </c>
      <c r="D7" s="3382"/>
      <c r="E7" s="3401" t="s">
        <v>2916</v>
      </c>
      <c r="F7" s="3402"/>
      <c r="G7" s="3381" t="s">
        <v>2917</v>
      </c>
      <c r="H7" s="3382"/>
      <c r="I7" s="3381" t="s">
        <v>2918</v>
      </c>
      <c r="J7" s="3382"/>
      <c r="K7" s="512"/>
      <c r="L7" s="2133"/>
      <c r="M7" s="2134"/>
      <c r="N7" s="2134"/>
      <c r="O7" s="2134"/>
      <c r="P7" s="3369"/>
      <c r="Q7" s="3370"/>
      <c r="R7" s="3375"/>
      <c r="S7" s="3376"/>
      <c r="T7" s="3375"/>
      <c r="U7" s="3376"/>
      <c r="V7" s="3360"/>
      <c r="W7" s="3360"/>
      <c r="X7" s="1566"/>
      <c r="Y7" s="3375"/>
      <c r="Z7" s="3376"/>
      <c r="AA7" s="3363"/>
      <c r="AB7" s="3363"/>
      <c r="AC7" s="3363"/>
    </row>
    <row r="8" spans="1:29" ht="15.75" thickBot="1">
      <c r="A8" s="515"/>
      <c r="B8" s="516"/>
      <c r="C8" s="3379" t="s">
        <v>2919</v>
      </c>
      <c r="D8" s="3380"/>
      <c r="E8" s="3397" t="s">
        <v>2919</v>
      </c>
      <c r="F8" s="3398"/>
      <c r="G8" s="3379" t="s">
        <v>2919</v>
      </c>
      <c r="H8" s="3380"/>
      <c r="I8" s="3379" t="s">
        <v>2919</v>
      </c>
      <c r="J8" s="3380"/>
      <c r="K8" s="512" t="s">
        <v>528</v>
      </c>
      <c r="L8" s="2133"/>
      <c r="M8" s="2134"/>
      <c r="N8" s="2134"/>
      <c r="O8" s="2134"/>
      <c r="P8" s="3371"/>
      <c r="Q8" s="3372"/>
      <c r="R8" s="3375"/>
      <c r="S8" s="3376"/>
      <c r="T8" s="3377"/>
      <c r="U8" s="3378"/>
      <c r="V8" s="3360"/>
      <c r="W8" s="3360"/>
      <c r="X8" s="1566"/>
      <c r="Y8" s="3377"/>
      <c r="Z8" s="3378"/>
      <c r="AA8" s="3364"/>
      <c r="AB8" s="3364"/>
      <c r="AC8" s="3364"/>
    </row>
    <row r="9" spans="1:29" s="1218" customFormat="1" ht="15.75" thickBot="1">
      <c r="A9" s="2912"/>
      <c r="B9" s="2919" t="s">
        <v>529</v>
      </c>
      <c r="C9" s="517">
        <f>'数据-取费表'!B2</f>
        <v>43384</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390" t="s">
        <v>530</v>
      </c>
      <c r="Q9" s="3392"/>
      <c r="R9" s="1567" t="s">
        <v>8</v>
      </c>
      <c r="S9" s="1568">
        <f t="shared" ref="S9:S17" si="0">F9</f>
        <v>0</v>
      </c>
      <c r="T9" s="1567" t="s">
        <v>8</v>
      </c>
      <c r="U9" s="1568">
        <f t="shared" ref="U9:U17" si="1">H9</f>
        <v>0</v>
      </c>
      <c r="V9" s="1567" t="s">
        <v>8</v>
      </c>
      <c r="W9" s="1568">
        <f t="shared" ref="W9:W17" si="2">J9</f>
        <v>0</v>
      </c>
      <c r="X9" s="1569"/>
      <c r="Y9" s="3390" t="s">
        <v>530</v>
      </c>
      <c r="Z9" s="3391"/>
      <c r="AA9" s="1570" t="e">
        <f>D9/F9</f>
        <v>#DIV/0!</v>
      </c>
      <c r="AB9" s="1570" t="e">
        <f>D9/H9</f>
        <v>#DIV/0!</v>
      </c>
      <c r="AC9" s="1570" t="e">
        <f>D9/J9</f>
        <v>#DIV/0!</v>
      </c>
    </row>
    <row r="10" spans="1:29" s="1218" customFormat="1" ht="15.75" thickBot="1">
      <c r="A10" s="2913"/>
      <c r="B10" s="292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390" t="s">
        <v>533</v>
      </c>
      <c r="Q10" s="3391"/>
      <c r="R10" s="1567" t="s">
        <v>8</v>
      </c>
      <c r="S10" s="1568">
        <f t="shared" si="0"/>
        <v>0</v>
      </c>
      <c r="T10" s="1567" t="s">
        <v>8</v>
      </c>
      <c r="U10" s="1568">
        <f t="shared" si="1"/>
        <v>0</v>
      </c>
      <c r="V10" s="1567" t="s">
        <v>8</v>
      </c>
      <c r="W10" s="1568">
        <f t="shared" si="2"/>
        <v>0</v>
      </c>
      <c r="X10" s="1569"/>
      <c r="Y10" s="3390" t="s">
        <v>533</v>
      </c>
      <c r="Z10" s="3391"/>
      <c r="AA10" s="1570" t="e">
        <f t="shared" ref="AA10:AA42" si="3">D10/F10</f>
        <v>#DIV/0!</v>
      </c>
      <c r="AB10" s="1570" t="e">
        <f t="shared" ref="AB10:AB42" si="4">D10/H10</f>
        <v>#DIV/0!</v>
      </c>
      <c r="AC10" s="1570" t="e">
        <f t="shared" ref="AC10:AC42" si="5">D10/J10</f>
        <v>#DIV/0!</v>
      </c>
    </row>
    <row r="11" spans="1:29" s="1218" customFormat="1" ht="15">
      <c r="A11" s="2914"/>
      <c r="B11" s="2921" t="s">
        <v>2753</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359" t="s">
        <v>535</v>
      </c>
      <c r="Q11" s="1149" t="str">
        <f t="shared" ref="Q11:Q17" si="6">B11</f>
        <v>用途</v>
      </c>
      <c r="R11" s="1567" t="s">
        <v>8</v>
      </c>
      <c r="S11" s="1568">
        <f t="shared" si="0"/>
        <v>100</v>
      </c>
      <c r="T11" s="1567" t="s">
        <v>8</v>
      </c>
      <c r="U11" s="1568">
        <f t="shared" si="1"/>
        <v>100</v>
      </c>
      <c r="V11" s="1567" t="s">
        <v>8</v>
      </c>
      <c r="W11" s="1568">
        <f t="shared" si="2"/>
        <v>100</v>
      </c>
      <c r="X11" s="1569"/>
      <c r="Y11" s="3305" t="s">
        <v>536</v>
      </c>
      <c r="Z11" s="1148" t="str">
        <f t="shared" ref="Z11:Z17" si="7">Q11</f>
        <v>用途</v>
      </c>
      <c r="AA11" s="1570">
        <f t="shared" si="3"/>
        <v>1</v>
      </c>
      <c r="AB11" s="1570">
        <f t="shared" si="4"/>
        <v>1</v>
      </c>
      <c r="AC11" s="1570">
        <f t="shared" si="5"/>
        <v>1</v>
      </c>
    </row>
    <row r="12" spans="1:29" s="1336" customFormat="1" ht="27">
      <c r="A12" s="2915"/>
      <c r="B12" s="2920" t="s">
        <v>2754</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359"/>
      <c r="Q12" s="1149" t="str">
        <f t="shared" si="6"/>
        <v>土地使用年限（年）</v>
      </c>
      <c r="R12" s="1567" t="s">
        <v>8</v>
      </c>
      <c r="S12" s="1568">
        <f t="shared" si="0"/>
        <v>100</v>
      </c>
      <c r="T12" s="1567" t="s">
        <v>8</v>
      </c>
      <c r="U12" s="1568">
        <f t="shared" si="1"/>
        <v>100</v>
      </c>
      <c r="V12" s="1567" t="s">
        <v>8</v>
      </c>
      <c r="W12" s="1568">
        <f t="shared" si="2"/>
        <v>100</v>
      </c>
      <c r="X12" s="1569"/>
      <c r="Y12" s="3305"/>
      <c r="Z12" s="1148" t="str">
        <f t="shared" si="7"/>
        <v>土地使用年限（年）</v>
      </c>
      <c r="AA12" s="1570">
        <f t="shared" si="3"/>
        <v>1</v>
      </c>
      <c r="AB12" s="1570">
        <f t="shared" si="4"/>
        <v>1</v>
      </c>
      <c r="AC12" s="1570">
        <f t="shared" si="5"/>
        <v>1</v>
      </c>
    </row>
    <row r="13" spans="1:29" ht="15">
      <c r="A13" s="2916"/>
      <c r="B13" s="2920"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359"/>
      <c r="Q13" s="1149" t="str">
        <f t="shared" si="6"/>
        <v>容积率</v>
      </c>
      <c r="R13" s="1567" t="s">
        <v>8</v>
      </c>
      <c r="S13" s="1568" t="e">
        <f t="shared" si="0"/>
        <v>#N/A</v>
      </c>
      <c r="T13" s="1567" t="s">
        <v>8</v>
      </c>
      <c r="U13" s="1568" t="e">
        <f t="shared" si="1"/>
        <v>#N/A</v>
      </c>
      <c r="V13" s="1567" t="s">
        <v>8</v>
      </c>
      <c r="W13" s="1568" t="e">
        <f t="shared" si="2"/>
        <v>#N/A</v>
      </c>
      <c r="X13" s="1569"/>
      <c r="Y13" s="3305"/>
      <c r="Z13" s="1148" t="str">
        <f t="shared" si="7"/>
        <v>容积率</v>
      </c>
      <c r="AA13" s="1570" t="e">
        <f t="shared" si="3"/>
        <v>#N/A</v>
      </c>
      <c r="AB13" s="1570" t="e">
        <f t="shared" si="4"/>
        <v>#N/A</v>
      </c>
      <c r="AC13" s="1570" t="e">
        <f t="shared" si="5"/>
        <v>#N/A</v>
      </c>
    </row>
    <row r="14" spans="1:29" s="1218" customFormat="1" ht="15">
      <c r="A14" s="2917"/>
      <c r="B14" s="2923">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359"/>
      <c r="Q14" s="1149">
        <f t="shared" si="6"/>
        <v>111</v>
      </c>
      <c r="R14" s="1567" t="s">
        <v>8</v>
      </c>
      <c r="S14" s="1568">
        <f t="shared" si="0"/>
        <v>100</v>
      </c>
      <c r="T14" s="1567" t="s">
        <v>8</v>
      </c>
      <c r="U14" s="1568">
        <f t="shared" si="1"/>
        <v>100</v>
      </c>
      <c r="V14" s="1567" t="s">
        <v>8</v>
      </c>
      <c r="W14" s="1568">
        <f t="shared" si="2"/>
        <v>100</v>
      </c>
      <c r="X14" s="1569"/>
      <c r="Y14" s="3305"/>
      <c r="Z14" s="1148">
        <f t="shared" si="7"/>
        <v>111</v>
      </c>
      <c r="AA14" s="1570">
        <f>D14/F14</f>
        <v>1</v>
      </c>
      <c r="AB14" s="1570">
        <f>D14/H14</f>
        <v>1</v>
      </c>
      <c r="AC14" s="1570">
        <f>D14/J14</f>
        <v>1</v>
      </c>
    </row>
    <row r="15" spans="1:29" ht="15">
      <c r="A15" s="2917"/>
      <c r="B15" s="2923">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359"/>
      <c r="Q15" s="1149">
        <f t="shared" si="6"/>
        <v>111</v>
      </c>
      <c r="R15" s="1567" t="s">
        <v>8</v>
      </c>
      <c r="S15" s="1568">
        <f t="shared" si="0"/>
        <v>100</v>
      </c>
      <c r="T15" s="1567" t="s">
        <v>8</v>
      </c>
      <c r="U15" s="1568">
        <f t="shared" si="1"/>
        <v>100</v>
      </c>
      <c r="V15" s="1567" t="s">
        <v>8</v>
      </c>
      <c r="W15" s="1568">
        <f t="shared" si="2"/>
        <v>100</v>
      </c>
      <c r="X15" s="1569"/>
      <c r="Y15" s="3305"/>
      <c r="Z15" s="1148">
        <f t="shared" si="7"/>
        <v>111</v>
      </c>
      <c r="AA15" s="1570">
        <f t="shared" si="3"/>
        <v>1</v>
      </c>
      <c r="AB15" s="1570">
        <f t="shared" si="4"/>
        <v>1</v>
      </c>
      <c r="AC15" s="1570">
        <f t="shared" si="5"/>
        <v>1</v>
      </c>
    </row>
    <row r="16" spans="1:29" ht="15.75" thickBot="1">
      <c r="A16" s="2918"/>
      <c r="B16" s="2924">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359"/>
      <c r="Q16" s="1149">
        <f t="shared" si="6"/>
        <v>111</v>
      </c>
      <c r="R16" s="1567" t="s">
        <v>8</v>
      </c>
      <c r="S16" s="1568">
        <f t="shared" si="0"/>
        <v>100</v>
      </c>
      <c r="T16" s="1567" t="s">
        <v>8</v>
      </c>
      <c r="U16" s="1568">
        <f t="shared" si="1"/>
        <v>100</v>
      </c>
      <c r="V16" s="1567" t="s">
        <v>8</v>
      </c>
      <c r="W16" s="1568">
        <f t="shared" si="2"/>
        <v>100</v>
      </c>
      <c r="X16" s="1569"/>
      <c r="Y16" s="3305"/>
      <c r="Z16" s="1148">
        <f t="shared" si="7"/>
        <v>111</v>
      </c>
      <c r="AA16" s="1570">
        <f t="shared" si="3"/>
        <v>1</v>
      </c>
      <c r="AB16" s="1570">
        <f t="shared" si="4"/>
        <v>1</v>
      </c>
      <c r="AC16" s="1570">
        <f t="shared" si="5"/>
        <v>1</v>
      </c>
    </row>
    <row r="17" spans="1:29" ht="15">
      <c r="A17" s="2910"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393" t="s">
        <v>540</v>
      </c>
      <c r="Q17" s="1571" t="str">
        <f t="shared" si="6"/>
        <v>产业集聚程度</v>
      </c>
      <c r="R17" s="1572" t="s">
        <v>8</v>
      </c>
      <c r="S17" s="1573">
        <f t="shared" si="0"/>
        <v>100</v>
      </c>
      <c r="T17" s="1572" t="s">
        <v>8</v>
      </c>
      <c r="U17" s="1573">
        <f t="shared" si="1"/>
        <v>100</v>
      </c>
      <c r="V17" s="1572" t="s">
        <v>8</v>
      </c>
      <c r="W17" s="1573">
        <f t="shared" si="2"/>
        <v>100</v>
      </c>
      <c r="X17" s="1566"/>
      <c r="Y17" s="3393"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394"/>
      <c r="Q18" s="1571"/>
      <c r="R18" s="1572"/>
      <c r="S18" s="1573"/>
      <c r="T18" s="1572"/>
      <c r="U18" s="1573"/>
      <c r="V18" s="1572"/>
      <c r="W18" s="1573"/>
      <c r="X18" s="1566"/>
      <c r="Y18" s="3394"/>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394"/>
      <c r="Q19" s="1571" t="str">
        <f>B19</f>
        <v>交通便捷度</v>
      </c>
      <c r="R19" s="1572" t="s">
        <v>8</v>
      </c>
      <c r="S19" s="1573">
        <f>F19</f>
        <v>100</v>
      </c>
      <c r="T19" s="1572" t="s">
        <v>8</v>
      </c>
      <c r="U19" s="1573">
        <f>H19</f>
        <v>100</v>
      </c>
      <c r="V19" s="1572" t="s">
        <v>8</v>
      </c>
      <c r="W19" s="1573">
        <f>J19</f>
        <v>100</v>
      </c>
      <c r="X19" s="1566"/>
      <c r="Y19" s="3394"/>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394"/>
      <c r="Q20" s="1571"/>
      <c r="R20" s="1572"/>
      <c r="S20" s="1573"/>
      <c r="T20" s="1572"/>
      <c r="U20" s="1573"/>
      <c r="V20" s="1572"/>
      <c r="W20" s="1573"/>
      <c r="X20" s="1566"/>
      <c r="Y20" s="3394"/>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394"/>
      <c r="Q21" s="1571" t="str">
        <f t="shared" ref="Q21:Q35" si="8">B21</f>
        <v>区域土地利用方向</v>
      </c>
      <c r="R21" s="1572" t="s">
        <v>8</v>
      </c>
      <c r="S21" s="1573">
        <f>F21</f>
        <v>100</v>
      </c>
      <c r="T21" s="1572" t="s">
        <v>8</v>
      </c>
      <c r="U21" s="1573">
        <f>H21</f>
        <v>100</v>
      </c>
      <c r="V21" s="1572" t="s">
        <v>8</v>
      </c>
      <c r="W21" s="1573">
        <f>J21</f>
        <v>100</v>
      </c>
      <c r="X21" s="1566"/>
      <c r="Y21" s="3394"/>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394"/>
      <c r="Q22" s="1571"/>
      <c r="R22" s="1572"/>
      <c r="S22" s="1573"/>
      <c r="T22" s="1572"/>
      <c r="U22" s="1573"/>
      <c r="V22" s="1572"/>
      <c r="W22" s="1573"/>
      <c r="X22" s="1566"/>
      <c r="Y22" s="3394"/>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394"/>
      <c r="Q23" s="1571" t="str">
        <f t="shared" si="8"/>
        <v>环境状况</v>
      </c>
      <c r="R23" s="1572" t="s">
        <v>8</v>
      </c>
      <c r="S23" s="1573">
        <f>F23</f>
        <v>100</v>
      </c>
      <c r="T23" s="1572" t="s">
        <v>8</v>
      </c>
      <c r="U23" s="1573">
        <f>H23</f>
        <v>100</v>
      </c>
      <c r="V23" s="1572" t="s">
        <v>8</v>
      </c>
      <c r="W23" s="1573">
        <f>J23</f>
        <v>100</v>
      </c>
      <c r="X23" s="1566"/>
      <c r="Y23" s="3394"/>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394"/>
      <c r="Q24" s="1571"/>
      <c r="R24" s="1572"/>
      <c r="S24" s="1573"/>
      <c r="T24" s="1572"/>
      <c r="U24" s="1573"/>
      <c r="V24" s="1572"/>
      <c r="W24" s="1573"/>
      <c r="X24" s="1566"/>
      <c r="Y24" s="3394"/>
      <c r="Z24" s="1574"/>
      <c r="AA24" s="1575">
        <v>1</v>
      </c>
      <c r="AB24" s="1575">
        <v>1</v>
      </c>
      <c r="AC24" s="1575">
        <v>1</v>
      </c>
    </row>
    <row r="25" spans="1:29" s="1218" customFormat="1" ht="15">
      <c r="A25" s="575"/>
      <c r="B25" s="2593" t="s">
        <v>2546</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394"/>
      <c r="Q25" s="1149" t="str">
        <f t="shared" si="8"/>
        <v>公共配套设施</v>
      </c>
      <c r="R25" s="1567" t="s">
        <v>8</v>
      </c>
      <c r="S25" s="1568">
        <f>F25</f>
        <v>100</v>
      </c>
      <c r="T25" s="1567" t="s">
        <v>8</v>
      </c>
      <c r="U25" s="1568">
        <f>H25</f>
        <v>100</v>
      </c>
      <c r="V25" s="1567" t="s">
        <v>8</v>
      </c>
      <c r="W25" s="1568">
        <f>J25</f>
        <v>100</v>
      </c>
      <c r="X25" s="1569"/>
      <c r="Y25" s="3394"/>
      <c r="Z25" s="1148" t="str">
        <f>Q25</f>
        <v>公共配套设施</v>
      </c>
      <c r="AA25" s="1575">
        <f>D25/F25</f>
        <v>1</v>
      </c>
      <c r="AB25" s="1575">
        <f>D25/H25</f>
        <v>1</v>
      </c>
      <c r="AC25" s="1575">
        <f>D25/J25</f>
        <v>1</v>
      </c>
    </row>
    <row r="26" spans="1:29" s="1218" customFormat="1" ht="15">
      <c r="A26" s="575"/>
      <c r="B26" s="593"/>
      <c r="C26" s="2592"/>
      <c r="D26" s="553"/>
      <c r="E26" s="552"/>
      <c r="F26" s="553"/>
      <c r="G26" s="552"/>
      <c r="H26" s="553"/>
      <c r="I26" s="574"/>
      <c r="J26" s="553"/>
      <c r="K26" s="529"/>
      <c r="L26" s="2135"/>
      <c r="M26" s="2136"/>
      <c r="N26" s="2136"/>
      <c r="O26" s="2137"/>
      <c r="P26" s="3394"/>
      <c r="Q26" s="1149"/>
      <c r="R26" s="1567"/>
      <c r="S26" s="1568"/>
      <c r="T26" s="1567"/>
      <c r="U26" s="1568"/>
      <c r="V26" s="1567"/>
      <c r="W26" s="1568"/>
      <c r="X26" s="1569"/>
      <c r="Y26" s="3394"/>
      <c r="Z26" s="1148"/>
      <c r="AA26" s="1570">
        <v>1</v>
      </c>
      <c r="AB26" s="1570">
        <v>1</v>
      </c>
      <c r="AC26" s="1570">
        <v>1</v>
      </c>
    </row>
    <row r="27" spans="1:29" s="1218" customFormat="1" ht="15">
      <c r="A27" s="575"/>
      <c r="B27" s="2593" t="s">
        <v>2547</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394"/>
      <c r="Q27" s="2578" t="str">
        <f t="shared" ref="Q27" si="9">B27</f>
        <v>基础设施水平</v>
      </c>
      <c r="R27" s="1567" t="s">
        <v>8</v>
      </c>
      <c r="S27" s="1568">
        <f>F27</f>
        <v>100</v>
      </c>
      <c r="T27" s="1567" t="s">
        <v>8</v>
      </c>
      <c r="U27" s="1568">
        <f>H27</f>
        <v>100</v>
      </c>
      <c r="V27" s="1567" t="s">
        <v>8</v>
      </c>
      <c r="W27" s="1568">
        <f>J27</f>
        <v>100</v>
      </c>
      <c r="X27" s="1569"/>
      <c r="Y27" s="3394"/>
      <c r="Z27" s="2575" t="str">
        <f>Q27</f>
        <v>基础设施水平</v>
      </c>
      <c r="AA27" s="1575">
        <f>D27/F27</f>
        <v>1</v>
      </c>
      <c r="AB27" s="1575">
        <f>D27/H27</f>
        <v>1</v>
      </c>
      <c r="AC27" s="1575">
        <f>D27/J27</f>
        <v>1</v>
      </c>
    </row>
    <row r="28" spans="1:29" s="1218" customFormat="1" ht="15">
      <c r="A28" s="575"/>
      <c r="B28" s="593"/>
      <c r="C28" s="2592"/>
      <c r="D28" s="553"/>
      <c r="E28" s="577"/>
      <c r="F28" s="553"/>
      <c r="G28" s="577"/>
      <c r="H28" s="553"/>
      <c r="I28" s="577"/>
      <c r="J28" s="553"/>
      <c r="K28" s="529"/>
      <c r="L28" s="2135"/>
      <c r="M28" s="2136"/>
      <c r="N28" s="2136"/>
      <c r="O28" s="2137"/>
      <c r="P28" s="3394"/>
      <c r="Q28" s="2578"/>
      <c r="R28" s="1567"/>
      <c r="S28" s="1568"/>
      <c r="T28" s="1567"/>
      <c r="U28" s="1568"/>
      <c r="V28" s="1567"/>
      <c r="W28" s="1568"/>
      <c r="X28" s="1569"/>
      <c r="Y28" s="3394"/>
      <c r="Z28" s="2575"/>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39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4"/>
      <c r="Z29" s="1574" t="str">
        <f t="shared" ref="Z29:Z42" si="13">Q29</f>
        <v>临街状况</v>
      </c>
      <c r="AA29" s="1575">
        <f t="shared" si="3"/>
        <v>1</v>
      </c>
      <c r="AB29" s="1575">
        <f t="shared" si="4"/>
        <v>1</v>
      </c>
      <c r="AC29" s="1575">
        <f t="shared" si="5"/>
        <v>1</v>
      </c>
    </row>
    <row r="30" spans="1:29" ht="27">
      <c r="A30" s="530"/>
      <c r="B30" s="920" t="s">
        <v>548</v>
      </c>
      <c r="C30" s="259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394"/>
      <c r="Q30" s="1571" t="str">
        <f t="shared" si="8"/>
        <v>毗邻道路的类型与等级</v>
      </c>
      <c r="R30" s="1572" t="s">
        <v>8</v>
      </c>
      <c r="S30" s="1573">
        <f t="shared" si="10"/>
        <v>100</v>
      </c>
      <c r="T30" s="1572" t="s">
        <v>8</v>
      </c>
      <c r="U30" s="1573">
        <f t="shared" si="11"/>
        <v>100</v>
      </c>
      <c r="V30" s="1572" t="s">
        <v>8</v>
      </c>
      <c r="W30" s="1573">
        <f t="shared" si="12"/>
        <v>100</v>
      </c>
      <c r="X30" s="1566"/>
      <c r="Y30" s="3394"/>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394"/>
      <c r="Q31" s="1571"/>
      <c r="R31" s="1572"/>
      <c r="S31" s="1573"/>
      <c r="T31" s="1572"/>
      <c r="U31" s="1573"/>
      <c r="V31" s="1572"/>
      <c r="W31" s="1573"/>
      <c r="X31" s="1566"/>
      <c r="Y31" s="3394"/>
      <c r="Z31" s="1574"/>
      <c r="AA31" s="1575">
        <v>1</v>
      </c>
      <c r="AB31" s="1575">
        <v>1</v>
      </c>
      <c r="AC31" s="1575">
        <v>1</v>
      </c>
    </row>
    <row r="32" spans="1:29" ht="15">
      <c r="A32" s="530"/>
      <c r="B32" s="525" t="s">
        <v>549</v>
      </c>
      <c r="C32" s="259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394"/>
      <c r="Q32" s="1571" t="str">
        <f t="shared" si="8"/>
        <v>土地级别</v>
      </c>
      <c r="R32" s="1572" t="s">
        <v>8</v>
      </c>
      <c r="S32" s="1573">
        <f t="shared" si="10"/>
        <v>100</v>
      </c>
      <c r="T32" s="1572" t="s">
        <v>8</v>
      </c>
      <c r="U32" s="1573">
        <f t="shared" si="11"/>
        <v>100</v>
      </c>
      <c r="V32" s="1572" t="s">
        <v>8</v>
      </c>
      <c r="W32" s="1573">
        <f t="shared" si="12"/>
        <v>100</v>
      </c>
      <c r="X32" s="1566"/>
      <c r="Y32" s="3394"/>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394"/>
      <c r="Q33" s="1571">
        <f t="shared" si="8"/>
        <v>111</v>
      </c>
      <c r="R33" s="1572" t="s">
        <v>8</v>
      </c>
      <c r="S33" s="1573">
        <f t="shared" si="10"/>
        <v>100</v>
      </c>
      <c r="T33" s="1572" t="s">
        <v>8</v>
      </c>
      <c r="U33" s="1573">
        <f t="shared" si="11"/>
        <v>100</v>
      </c>
      <c r="V33" s="1572" t="s">
        <v>8</v>
      </c>
      <c r="W33" s="1573">
        <f t="shared" si="12"/>
        <v>100</v>
      </c>
      <c r="X33" s="1566"/>
      <c r="Y33" s="3394"/>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395" t="s">
        <v>550</v>
      </c>
      <c r="Q34" s="1571">
        <f t="shared" si="8"/>
        <v>111</v>
      </c>
      <c r="R34" s="1572" t="s">
        <v>8</v>
      </c>
      <c r="S34" s="1573">
        <f t="shared" si="10"/>
        <v>100</v>
      </c>
      <c r="T34" s="1572" t="s">
        <v>8</v>
      </c>
      <c r="U34" s="1573">
        <f t="shared" si="11"/>
        <v>100</v>
      </c>
      <c r="V34" s="1572" t="s">
        <v>8</v>
      </c>
      <c r="W34" s="1573">
        <f t="shared" si="12"/>
        <v>100</v>
      </c>
      <c r="X34" s="1566"/>
      <c r="Y34" s="3396" t="s">
        <v>550</v>
      </c>
      <c r="Z34" s="1574">
        <f t="shared" si="13"/>
        <v>111</v>
      </c>
      <c r="AA34" s="1575">
        <f t="shared" si="3"/>
        <v>1</v>
      </c>
      <c r="AB34" s="1575">
        <f t="shared" si="4"/>
        <v>1</v>
      </c>
      <c r="AC34" s="1575">
        <f t="shared" si="5"/>
        <v>1</v>
      </c>
    </row>
    <row r="35" spans="1:29" s="1337" customFormat="1" ht="15.75" thickBot="1">
      <c r="A35" s="587"/>
      <c r="B35" s="259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396"/>
      <c r="Q35" s="1571">
        <f t="shared" si="8"/>
        <v>111</v>
      </c>
      <c r="R35" s="1576" t="s">
        <v>8</v>
      </c>
      <c r="S35" s="1577">
        <f t="shared" si="10"/>
        <v>100</v>
      </c>
      <c r="T35" s="1576" t="s">
        <v>8</v>
      </c>
      <c r="U35" s="1577">
        <f t="shared" si="11"/>
        <v>100</v>
      </c>
      <c r="V35" s="1576" t="s">
        <v>8</v>
      </c>
      <c r="W35" s="1577">
        <f t="shared" si="12"/>
        <v>100</v>
      </c>
      <c r="X35" s="1578"/>
      <c r="Y35" s="3396"/>
      <c r="Z35" s="1579">
        <f t="shared" si="13"/>
        <v>111</v>
      </c>
      <c r="AA35" s="1575">
        <f t="shared" si="3"/>
        <v>1</v>
      </c>
      <c r="AB35" s="1575">
        <f t="shared" si="4"/>
        <v>1</v>
      </c>
      <c r="AC35" s="1575">
        <f t="shared" si="5"/>
        <v>1</v>
      </c>
    </row>
    <row r="36" spans="1:29" ht="15">
      <c r="A36" s="2907"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396"/>
      <c r="Q36" s="1571" t="str">
        <f>B36</f>
        <v>宗地面积</v>
      </c>
      <c r="R36" s="1572" t="s">
        <v>8</v>
      </c>
      <c r="S36" s="1573" t="e">
        <f t="shared" si="10"/>
        <v>#N/A</v>
      </c>
      <c r="T36" s="1572" t="s">
        <v>8</v>
      </c>
      <c r="U36" s="1573" t="e">
        <f t="shared" si="11"/>
        <v>#N/A</v>
      </c>
      <c r="V36" s="1572" t="s">
        <v>8</v>
      </c>
      <c r="W36" s="1573" t="e">
        <f t="shared" si="12"/>
        <v>#N/A</v>
      </c>
      <c r="X36" s="1566"/>
      <c r="Y36" s="3396"/>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396"/>
      <c r="Q37" s="1571" t="str">
        <f t="shared" ref="Q37:Q42" si="14">B37</f>
        <v>宗地形状</v>
      </c>
      <c r="R37" s="1572" t="s">
        <v>8</v>
      </c>
      <c r="S37" s="1573">
        <f t="shared" si="10"/>
        <v>100</v>
      </c>
      <c r="T37" s="1572" t="s">
        <v>8</v>
      </c>
      <c r="U37" s="1573">
        <f t="shared" si="11"/>
        <v>100</v>
      </c>
      <c r="V37" s="1572" t="s">
        <v>8</v>
      </c>
      <c r="W37" s="1573">
        <f t="shared" si="12"/>
        <v>100</v>
      </c>
      <c r="X37" s="1566"/>
      <c r="Y37" s="3396"/>
      <c r="Z37" s="1574" t="str">
        <f t="shared" si="13"/>
        <v>宗地形状</v>
      </c>
      <c r="AA37" s="1575">
        <f t="shared" si="3"/>
        <v>1</v>
      </c>
      <c r="AB37" s="1575">
        <f t="shared" si="4"/>
        <v>1</v>
      </c>
      <c r="AC37" s="1575">
        <f t="shared" si="5"/>
        <v>1</v>
      </c>
    </row>
    <row r="38" spans="1:29" s="1218" customFormat="1" ht="15">
      <c r="A38" s="598"/>
      <c r="B38" s="1895"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396"/>
      <c r="Q38" s="1571" t="str">
        <f t="shared" si="14"/>
        <v>宗地开发程度</v>
      </c>
      <c r="R38" s="1567" t="s">
        <v>8</v>
      </c>
      <c r="S38" s="1568">
        <f t="shared" si="10"/>
        <v>100</v>
      </c>
      <c r="T38" s="1567" t="s">
        <v>8</v>
      </c>
      <c r="U38" s="1568">
        <f t="shared" si="11"/>
        <v>100</v>
      </c>
      <c r="V38" s="1567" t="s">
        <v>8</v>
      </c>
      <c r="W38" s="1568">
        <f t="shared" si="12"/>
        <v>100</v>
      </c>
      <c r="X38" s="1569"/>
      <c r="Y38" s="3396"/>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6" t="s">
        <v>601</v>
      </c>
      <c r="Q39" s="1571" t="str">
        <f t="shared" si="14"/>
        <v>工程地质条件</v>
      </c>
      <c r="R39" s="1572" t="s">
        <v>8</v>
      </c>
      <c r="S39" s="1573">
        <f t="shared" si="10"/>
        <v>100</v>
      </c>
      <c r="T39" s="1572" t="s">
        <v>8</v>
      </c>
      <c r="U39" s="1573">
        <f t="shared" si="11"/>
        <v>100</v>
      </c>
      <c r="V39" s="1572" t="s">
        <v>8</v>
      </c>
      <c r="W39" s="1573">
        <f t="shared" si="12"/>
        <v>100</v>
      </c>
      <c r="X39" s="1566"/>
      <c r="Y39" s="3396"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396"/>
      <c r="Q40" s="1571">
        <f t="shared" si="14"/>
        <v>111</v>
      </c>
      <c r="R40" s="1572" t="s">
        <v>8</v>
      </c>
      <c r="S40" s="1573">
        <f t="shared" si="10"/>
        <v>100</v>
      </c>
      <c r="T40" s="1572" t="s">
        <v>8</v>
      </c>
      <c r="U40" s="1573">
        <f t="shared" si="11"/>
        <v>100</v>
      </c>
      <c r="V40" s="1572" t="s">
        <v>8</v>
      </c>
      <c r="W40" s="1573">
        <f t="shared" si="12"/>
        <v>100</v>
      </c>
      <c r="X40" s="1566"/>
      <c r="Y40" s="3396"/>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396"/>
      <c r="Q41" s="1571">
        <f t="shared" si="14"/>
        <v>111</v>
      </c>
      <c r="R41" s="1572" t="s">
        <v>8</v>
      </c>
      <c r="S41" s="1573">
        <f t="shared" si="10"/>
        <v>100</v>
      </c>
      <c r="T41" s="1572" t="s">
        <v>8</v>
      </c>
      <c r="U41" s="1573">
        <f t="shared" si="11"/>
        <v>100</v>
      </c>
      <c r="V41" s="1572" t="s">
        <v>8</v>
      </c>
      <c r="W41" s="1573">
        <f t="shared" si="12"/>
        <v>100</v>
      </c>
      <c r="X41" s="1566"/>
      <c r="Y41" s="3396"/>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396"/>
      <c r="Q42" s="1571">
        <f t="shared" si="14"/>
        <v>111</v>
      </c>
      <c r="R42" s="1576" t="s">
        <v>8</v>
      </c>
      <c r="S42" s="1577">
        <f t="shared" si="10"/>
        <v>100</v>
      </c>
      <c r="T42" s="1576" t="s">
        <v>8</v>
      </c>
      <c r="U42" s="1577">
        <f t="shared" si="11"/>
        <v>100</v>
      </c>
      <c r="V42" s="1576" t="s">
        <v>8</v>
      </c>
      <c r="W42" s="1577">
        <f t="shared" si="12"/>
        <v>100</v>
      </c>
      <c r="X42" s="1578"/>
      <c r="Y42" s="3396"/>
      <c r="Z42" s="1579">
        <f t="shared" si="13"/>
        <v>111</v>
      </c>
      <c r="AA42" s="1575">
        <f t="shared" si="3"/>
        <v>1</v>
      </c>
      <c r="AB42" s="1575">
        <f t="shared" si="4"/>
        <v>1</v>
      </c>
      <c r="AC42" s="1575">
        <f t="shared" si="5"/>
        <v>1</v>
      </c>
    </row>
    <row r="43" spans="1:29" ht="15">
      <c r="A43" s="605" t="s">
        <v>556</v>
      </c>
      <c r="B43" s="606" t="s">
        <v>2920</v>
      </c>
      <c r="C43" s="607" t="s">
        <v>1</v>
      </c>
      <c r="D43" s="608"/>
      <c r="E43" s="609"/>
      <c r="F43" s="610"/>
      <c r="G43" s="611"/>
      <c r="H43" s="612"/>
      <c r="I43" s="609"/>
      <c r="J43" s="612"/>
      <c r="K43" s="1338"/>
      <c r="L43" s="2144"/>
      <c r="M43" s="2134"/>
      <c r="N43" s="2134"/>
      <c r="O43" s="2145"/>
      <c r="P43" s="3359" t="str">
        <f>A43</f>
        <v>成交单价</v>
      </c>
      <c r="Q43" s="3359"/>
      <c r="R43" s="3360">
        <f>E43</f>
        <v>0</v>
      </c>
      <c r="S43" s="3360"/>
      <c r="T43" s="3360">
        <f>G43</f>
        <v>0</v>
      </c>
      <c r="U43" s="3360"/>
      <c r="V43" s="3360">
        <f>I43</f>
        <v>0</v>
      </c>
      <c r="W43" s="3360"/>
      <c r="X43" s="1558"/>
      <c r="Y43" s="1580"/>
      <c r="Z43" s="1558"/>
      <c r="AA43" s="1558"/>
      <c r="AB43" s="1558"/>
      <c r="AC43" s="1558"/>
    </row>
    <row r="44" spans="1:29" ht="15.75" thickBot="1">
      <c r="A44" s="613" t="s">
        <v>2690</v>
      </c>
      <c r="B44" s="614"/>
      <c r="C44" s="615" t="e">
        <f>R45</f>
        <v>#DIV/0!</v>
      </c>
      <c r="D44" s="616"/>
      <c r="E44" s="615" t="e">
        <f>R44</f>
        <v>#DIV/0!</v>
      </c>
      <c r="F44" s="617"/>
      <c r="G44" s="618" t="e">
        <f>T44</f>
        <v>#DIV/0!</v>
      </c>
      <c r="H44" s="616"/>
      <c r="I44" s="615" t="e">
        <f>V44</f>
        <v>#DIV/0!</v>
      </c>
      <c r="J44" s="616"/>
      <c r="K44" s="1339"/>
      <c r="L44" s="2144"/>
      <c r="M44" s="2134"/>
      <c r="N44" s="2134"/>
      <c r="O44" s="2145"/>
      <c r="P44" s="3359" t="str">
        <f>A44</f>
        <v>比较价格（元/平方米）</v>
      </c>
      <c r="Q44" s="3359"/>
      <c r="R44" s="3361" t="e">
        <f>ROUND(PRODUCT(R43,AA9:AA42),0)</f>
        <v>#DIV/0!</v>
      </c>
      <c r="S44" s="3361"/>
      <c r="T44" s="3361" t="e">
        <f>ROUND(PRODUCT(T43,AB9:AB42),0)</f>
        <v>#DIV/0!</v>
      </c>
      <c r="U44" s="3361"/>
      <c r="V44" s="3361" t="e">
        <f>ROUND(PRODUCT(V43,AC9:AC42),0)</f>
        <v>#DIV/0!</v>
      </c>
      <c r="W44" s="3361"/>
      <c r="X44" s="1558"/>
      <c r="Y44" s="1558"/>
      <c r="Z44" s="1558"/>
      <c r="AA44" s="1558"/>
      <c r="AB44" s="1558"/>
      <c r="AC44" s="1558"/>
    </row>
    <row r="45" spans="1:29" ht="15.75" thickBot="1">
      <c r="A45" s="619" t="s">
        <v>2921</v>
      </c>
      <c r="B45" s="620"/>
      <c r="C45" s="621" t="e">
        <f>R45</f>
        <v>#DIV/0!</v>
      </c>
      <c r="D45" s="621"/>
      <c r="E45" s="621"/>
      <c r="F45" s="621"/>
      <c r="G45" s="621"/>
      <c r="H45" s="621"/>
      <c r="I45" s="621"/>
      <c r="J45" s="621"/>
      <c r="K45" s="1340"/>
      <c r="L45" s="2144"/>
      <c r="M45" s="2134"/>
      <c r="N45" s="2134"/>
      <c r="O45" s="2145"/>
      <c r="P45" s="3356" t="str">
        <f>A45</f>
        <v>估价对象XX用房的比较价格（楼面单价，元/平方米）</v>
      </c>
      <c r="Q45" s="3357"/>
      <c r="R45" s="3358" t="e">
        <f>ROUND(AVERAGE(R44:V44),0)</f>
        <v>#DIV/0!</v>
      </c>
      <c r="S45" s="3358"/>
      <c r="T45" s="3358"/>
      <c r="U45" s="3358"/>
      <c r="V45" s="3358"/>
      <c r="W45" s="335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2293</v>
      </c>
      <c r="E52" s="629" t="s">
        <v>562</v>
      </c>
      <c r="F52" s="1951" t="s">
        <v>563</v>
      </c>
      <c r="G52" s="3403" t="s">
        <v>2284</v>
      </c>
      <c r="H52" s="3404"/>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132334.82</v>
      </c>
      <c r="F53" s="1950" t="e">
        <f t="shared" ref="F53:F62" si="15">ROUND(B53*E53/10000,0)</f>
        <v>#DIV/0!</v>
      </c>
      <c r="G53" s="3405"/>
      <c r="H53" s="34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407"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4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4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4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2326</v>
      </c>
      <c r="B58" s="636" t="e">
        <f t="shared" si="17"/>
        <v>#DIV/0!</v>
      </c>
      <c r="C58" s="376">
        <f t="shared" si="16"/>
        <v>0</v>
      </c>
      <c r="D58" s="2229">
        <v>0.25</v>
      </c>
      <c r="E58" s="639">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v>
      </c>
      <c r="D59" s="2229">
        <v>0.25</v>
      </c>
      <c r="E59" s="639">
        <f>'数据-汇总表'!E12</f>
        <v>40836.03</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0.2</v>
      </c>
      <c r="D60" s="2229">
        <v>0.25</v>
      </c>
      <c r="E60" s="639">
        <f>'数据-汇总表'!E13</f>
        <v>48300.160000000003</v>
      </c>
      <c r="F60" s="1950" t="e">
        <f t="shared" si="15"/>
        <v>#DIV/0!</v>
      </c>
      <c r="G60" s="1946" t="s">
        <v>923</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v>
      </c>
      <c r="D62" s="2229">
        <v>0.25</v>
      </c>
      <c r="E62" s="639">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2294</v>
      </c>
      <c r="E63" s="641">
        <f>IF(B43="楼面地价",SUM(E53:E62),'数据-汇总表'!D3)</f>
        <v>70934.91</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2531</v>
      </c>
      <c r="B67" s="644"/>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2646</v>
      </c>
      <c r="B68" s="477" t="str">
        <f>"北京市平均增长率"&amp;TEXT(基准地价!P24,"0.00%")</f>
        <v>北京市平均增长率1.42%</v>
      </c>
      <c r="C68" s="892">
        <v>100</v>
      </c>
      <c r="D68" s="728"/>
      <c r="E68" s="728"/>
      <c r="F68" s="728"/>
      <c r="G68" s="728"/>
      <c r="H68" s="728"/>
      <c r="I68" s="728"/>
      <c r="J68" s="728"/>
      <c r="K68" s="728"/>
      <c r="L68" s="728"/>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2546</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597" t="s">
        <v>2548</v>
      </c>
      <c r="C95" s="2598" t="s">
        <v>2549</v>
      </c>
      <c r="D95" s="2598" t="s">
        <v>2550</v>
      </c>
      <c r="E95" s="2598" t="s">
        <v>2551</v>
      </c>
      <c r="F95" s="2598" t="s">
        <v>2552</v>
      </c>
      <c r="G95" s="2598" t="s">
        <v>2553</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90"/>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2423</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2"/>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2922</v>
      </c>
      <c r="G3" s="1037">
        <f>IF(F3="宗地容积率",'数据-汇总表'!I4,IF(F3="估价对象容积率",'数据-汇总表'!I6,'数据-汇总表'!I7))</f>
        <v>1.81</v>
      </c>
      <c r="H3" s="1413" t="s">
        <v>929</v>
      </c>
      <c r="I3" s="1038">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17">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7" t="str">
        <f>IF(E2="商业",IF(C8="不临58条商业街","",2),"")</f>
        <v/>
      </c>
      <c r="B7" s="1426" t="s">
        <v>932</v>
      </c>
      <c r="C7" s="1041" t="e">
        <f>IF(C8="不临58条商业街",1,ROUND(1+(1.6*E8+1.2*E9+0.8*E10+0.4*E11)*C9,4))</f>
        <v>#DIV/0!</v>
      </c>
      <c r="D7" s="1427" t="s">
        <v>933</v>
      </c>
      <c r="E7" s="1042"/>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1.81</v>
      </c>
      <c r="AA7" s="2192"/>
      <c r="AB7" s="2192"/>
      <c r="AC7" s="2193"/>
      <c r="AD7" s="2929"/>
      <c r="AE7" s="2929"/>
      <c r="AF7" s="2929"/>
      <c r="AG7" s="2929"/>
      <c r="AH7" s="2929"/>
      <c r="AI7" s="2929"/>
      <c r="AJ7" s="2930"/>
    </row>
    <row r="8" spans="1:39" ht="15">
      <c r="A8" s="3418"/>
      <c r="B8" s="1413" t="s">
        <v>934</v>
      </c>
      <c r="C8" s="1528"/>
      <c r="D8" s="1043" t="s">
        <v>935</v>
      </c>
      <c r="E8" s="1044"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09" t="s">
        <v>2780</v>
      </c>
      <c r="X8" s="3410"/>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18"/>
      <c r="B9" s="1413" t="s">
        <v>937</v>
      </c>
      <c r="C9" s="1045">
        <f>SUMIF(修正!C59:C119,C8,修正!E59:E119)</f>
        <v>0</v>
      </c>
      <c r="D9" s="1046" t="s">
        <v>938</v>
      </c>
      <c r="E9" s="1046"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08"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8"/>
      <c r="B10" s="1413" t="s">
        <v>940</v>
      </c>
      <c r="C10" s="1046">
        <f>SUMIF(修正!C59:C119,C8,修正!F59:F119)</f>
        <v>0</v>
      </c>
      <c r="D10" s="1046" t="s">
        <v>941</v>
      </c>
      <c r="E10" s="1046"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08"/>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8"/>
      <c r="B11" s="1434" t="s">
        <v>943</v>
      </c>
      <c r="C11" s="1047">
        <f>C10/4</f>
        <v>0</v>
      </c>
      <c r="D11" s="1047" t="s">
        <v>944</v>
      </c>
      <c r="E11" s="1047"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08" t="s">
        <v>2778</v>
      </c>
      <c r="X11" s="1046" t="s">
        <v>2763</v>
      </c>
      <c r="Y11" s="1652">
        <f>$G$3</f>
        <v>1.81</v>
      </c>
      <c r="Z11" s="1652">
        <f t="shared" ref="Z11:AJ11" si="3">$G$3</f>
        <v>1.81</v>
      </c>
      <c r="AA11" s="1652">
        <f t="shared" si="3"/>
        <v>1.81</v>
      </c>
      <c r="AB11" s="1652">
        <f t="shared" si="3"/>
        <v>1.81</v>
      </c>
      <c r="AC11" s="1652">
        <f t="shared" si="3"/>
        <v>1.81</v>
      </c>
      <c r="AD11" s="1652">
        <f t="shared" si="3"/>
        <v>1.81</v>
      </c>
      <c r="AE11" s="1652">
        <f t="shared" si="3"/>
        <v>1.81</v>
      </c>
      <c r="AF11" s="1652">
        <f t="shared" si="3"/>
        <v>1.81</v>
      </c>
      <c r="AG11" s="1652">
        <f t="shared" si="3"/>
        <v>1.81</v>
      </c>
      <c r="AH11" s="1652">
        <f t="shared" si="3"/>
        <v>1.81</v>
      </c>
      <c r="AI11" s="1652">
        <f t="shared" si="3"/>
        <v>1.81</v>
      </c>
      <c r="AJ11" s="1652">
        <f t="shared" si="3"/>
        <v>1.81</v>
      </c>
    </row>
    <row r="12" spans="1:39" ht="25.5" thickBot="1">
      <c r="A12" s="3417" t="s">
        <v>1872</v>
      </c>
      <c r="B12" s="1438" t="s">
        <v>946</v>
      </c>
      <c r="C12" s="1041">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08"/>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9"/>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08"/>
      <c r="X13" s="2934"/>
      <c r="Y13" s="2933">
        <f>(-0.163*(Y12^2)-0.59*Y12+7617)*(10^(-4))/Y11</f>
        <v>0.42082872928176795</v>
      </c>
      <c r="Z13" s="2933">
        <f t="shared" ref="Z13:AJ13" si="5">(-0.163*(Z12^2)-0.59*Z12+7617)*(10^(-4))/Z11</f>
        <v>0.42082872928176795</v>
      </c>
      <c r="AA13" s="2933">
        <f t="shared" si="5"/>
        <v>0.42082872928176795</v>
      </c>
      <c r="AB13" s="2933">
        <f t="shared" si="5"/>
        <v>0.42082872928176795</v>
      </c>
      <c r="AC13" s="2933">
        <f t="shared" si="5"/>
        <v>0.42082872928176795</v>
      </c>
      <c r="AD13" s="2933">
        <f t="shared" si="5"/>
        <v>0.42082872928176795</v>
      </c>
      <c r="AE13" s="2933">
        <f t="shared" si="5"/>
        <v>0.42082872928176795</v>
      </c>
      <c r="AF13" s="2933">
        <f t="shared" si="5"/>
        <v>0.42082872928176795</v>
      </c>
      <c r="AG13" s="2933">
        <f t="shared" si="5"/>
        <v>0.42082872928176795</v>
      </c>
      <c r="AH13" s="2933">
        <f t="shared" si="5"/>
        <v>0.42082872928176795</v>
      </c>
      <c r="AI13" s="2933">
        <f t="shared" si="5"/>
        <v>0.42082872928176795</v>
      </c>
      <c r="AJ13" s="2933">
        <f t="shared" si="5"/>
        <v>0.42082872928176795</v>
      </c>
    </row>
    <row r="14" spans="1:39" ht="12.75" customHeight="1" thickBot="1">
      <c r="A14" s="3419"/>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0"/>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7"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8"/>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ROUND(IF(H19="按公示增长率计算",SUMPRODUCT((地价!A3:A24=YEAR(G19)&amp;"-"&amp;ROUNDUP(MONTH(G19)/3,0))*(地价!X2:AB2=E2)*(地价!X3:AB24)),IF(H19="地价指数",M20/M19,(1+I19)^O19)),4)</f>
        <v>#DIV/0!</v>
      </c>
      <c r="D19" s="1473" t="s">
        <v>958</v>
      </c>
      <c r="E19" s="1056">
        <v>41640</v>
      </c>
      <c r="F19" s="1473" t="s">
        <v>959</v>
      </c>
      <c r="G19" s="1057">
        <f>'数据-取费表'!B2</f>
        <v>43384</v>
      </c>
      <c r="H19" s="1474" t="s">
        <v>2923</v>
      </c>
      <c r="I19" s="2784" t="str">
        <f>IF(H19="季度增幅（自定义）",SUMIF(N21:N24,E2,O21:O24),"")</f>
        <v/>
      </c>
      <c r="J19" s="1470"/>
      <c r="K19" s="1480"/>
      <c r="L19" s="3037" t="s">
        <v>2838</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2">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2839</v>
      </c>
      <c r="M20" s="3040">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2758</v>
      </c>
      <c r="C21" s="1156">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3" t="s">
        <v>2949</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08" t="s">
        <v>1010</v>
      </c>
      <c r="C46" s="2430" t="s">
        <v>1011</v>
      </c>
      <c r="D46" s="2431" t="s">
        <v>1012</v>
      </c>
      <c r="E46" s="2432" t="s">
        <v>1014</v>
      </c>
      <c r="F46" s="2433" t="s">
        <v>2250</v>
      </c>
      <c r="G46" s="2431" t="s">
        <v>1015</v>
      </c>
      <c r="H46" s="2414" t="s">
        <v>2416</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1021</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1022</v>
      </c>
      <c r="B48" s="2408" t="str">
        <f>估价对象房地状况!C18</f>
        <v>一般</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08" t="str">
        <f>估价对象房地状况!C19</f>
        <v>较好</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094" t="s">
        <v>2925</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093" t="s">
        <v>2924</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一般</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08"/>
      <c r="C57" s="2430" t="s">
        <v>1011</v>
      </c>
      <c r="D57" s="2431" t="s">
        <v>1012</v>
      </c>
      <c r="E57" s="2432" t="s">
        <v>1014</v>
      </c>
      <c r="F57" s="2433" t="s">
        <v>2251</v>
      </c>
      <c r="G57" s="2431" t="s">
        <v>1015</v>
      </c>
      <c r="H57" s="2414" t="s">
        <v>2416</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1031</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1022</v>
      </c>
      <c r="B59" s="2408" t="str">
        <f>估价对象房地状况!C18</f>
        <v>一般</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08" t="str">
        <f>估价对象房地状况!C19</f>
        <v>较好</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094" t="s">
        <v>2926</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093" t="s">
        <v>2924</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09" t="str">
        <f>估价对象房地状况!C21</f>
        <v>一般</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09" t="str">
        <f>估价对象房地状况!C22</f>
        <v>七通</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08"/>
      <c r="C68" s="2430" t="s">
        <v>1011</v>
      </c>
      <c r="D68" s="2431" t="s">
        <v>1012</v>
      </c>
      <c r="E68" s="2432" t="s">
        <v>1014</v>
      </c>
      <c r="F68" s="2433" t="s">
        <v>2252</v>
      </c>
      <c r="G68" s="2431" t="s">
        <v>1015</v>
      </c>
      <c r="H68" s="2414" t="s">
        <v>2416</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1033</v>
      </c>
      <c r="B69" s="2411" t="str">
        <f>估价对象房地状况!C15</f>
        <v>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1034</v>
      </c>
      <c r="B70" s="2408" t="str">
        <f>估价对象房地状况!C18</f>
        <v>一般</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08" t="str">
        <f>估价对象房地状况!C19</f>
        <v>较好</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09" t="str">
        <f>估价对象房地状况!C21</f>
        <v>一般</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09" t="str">
        <f>估价对象房地状况!C22</f>
        <v>七通</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093" t="s">
        <v>2924</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1029</v>
      </c>
      <c r="B76" s="2411" t="str">
        <f>估价对象房地状况!C20</f>
        <v>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1009</v>
      </c>
      <c r="B79" s="2408"/>
      <c r="C79" s="2430" t="s">
        <v>1011</v>
      </c>
      <c r="D79" s="2431" t="s">
        <v>1012</v>
      </c>
      <c r="E79" s="2432" t="s">
        <v>1014</v>
      </c>
      <c r="F79" s="2433" t="s">
        <v>2253</v>
      </c>
      <c r="G79" s="2431" t="s">
        <v>1015</v>
      </c>
      <c r="H79" s="2414" t="s">
        <v>2416</v>
      </c>
      <c r="I79" s="2431" t="s">
        <v>1013</v>
      </c>
      <c r="J79" s="2434" t="s">
        <v>1016</v>
      </c>
      <c r="K79" s="2434" t="s">
        <v>1017</v>
      </c>
      <c r="L79" s="2434" t="s">
        <v>1018</v>
      </c>
      <c r="M79" s="2434" t="s">
        <v>1019</v>
      </c>
      <c r="N79" s="2434" t="s">
        <v>1020</v>
      </c>
      <c r="AC79" s="1404"/>
      <c r="AD79" s="1403"/>
      <c r="AJ79" s="1402"/>
      <c r="AN79" s="1403"/>
    </row>
    <row r="80" spans="1:40" ht="24">
      <c r="A80" s="1065" t="s">
        <v>1038</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1034</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1023</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1035</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1027</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1028</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1026</v>
      </c>
      <c r="B86" s="3093" t="s">
        <v>2924</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1" t="s">
        <v>1634</v>
      </c>
      <c r="B90" s="3421"/>
      <c r="C90" s="3421"/>
      <c r="D90" s="3421"/>
      <c r="E90" s="3421"/>
      <c r="F90" s="3421"/>
      <c r="G90" s="3421"/>
      <c r="H90" s="3421"/>
      <c r="I90" s="3421"/>
      <c r="J90" s="3421"/>
      <c r="K90" s="2450"/>
      <c r="L90" s="2450"/>
      <c r="M90" s="2450"/>
      <c r="N90" s="2450"/>
    </row>
    <row r="91" spans="1:40">
      <c r="A91" s="3422" t="s">
        <v>1444</v>
      </c>
      <c r="B91" s="3422" t="s">
        <v>1635</v>
      </c>
      <c r="C91" s="1138" t="s">
        <v>1636</v>
      </c>
      <c r="D91" s="1139"/>
      <c r="E91" s="1139"/>
      <c r="F91" s="1139"/>
      <c r="G91" s="1139"/>
      <c r="H91" s="1139"/>
      <c r="I91" s="1139"/>
      <c r="J91" s="1140"/>
      <c r="K91" s="1132"/>
      <c r="L91" s="1132"/>
      <c r="M91" s="1132"/>
      <c r="N91" s="1132"/>
    </row>
    <row r="92" spans="1:40">
      <c r="A92" s="3422"/>
      <c r="B92" s="3422"/>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1"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1" t="s">
        <v>1638</v>
      </c>
      <c r="B101" s="1145" t="s">
        <v>906</v>
      </c>
      <c r="C101" s="1146">
        <f>$G$3</f>
        <v>1.81</v>
      </c>
      <c r="D101" s="1146">
        <f t="shared" ref="D101:N101" si="31">$G$3</f>
        <v>1.81</v>
      </c>
      <c r="E101" s="1146">
        <f t="shared" si="31"/>
        <v>1.81</v>
      </c>
      <c r="F101" s="1146">
        <f t="shared" si="31"/>
        <v>1.81</v>
      </c>
      <c r="G101" s="1146">
        <f t="shared" si="31"/>
        <v>1.81</v>
      </c>
      <c r="H101" s="1146">
        <f t="shared" si="31"/>
        <v>1.81</v>
      </c>
      <c r="I101" s="1146">
        <f t="shared" si="31"/>
        <v>1.81</v>
      </c>
      <c r="J101" s="1146">
        <f t="shared" si="31"/>
        <v>1.81</v>
      </c>
      <c r="K101" s="1146">
        <f t="shared" si="31"/>
        <v>1.81</v>
      </c>
      <c r="L101" s="1146">
        <f t="shared" si="31"/>
        <v>1.81</v>
      </c>
      <c r="M101" s="1146">
        <f t="shared" si="31"/>
        <v>1.81</v>
      </c>
      <c r="N101" s="1146">
        <f t="shared" si="31"/>
        <v>1.81</v>
      </c>
    </row>
    <row r="102" spans="1:14">
      <c r="A102" s="3412"/>
      <c r="B102" s="1141">
        <v>1</v>
      </c>
      <c r="C102" s="1142">
        <f>1.9362/C101</f>
        <v>1.0697237569060773</v>
      </c>
      <c r="D102" s="1142">
        <f>1.9362/D101</f>
        <v>1.0697237569060773</v>
      </c>
      <c r="E102" s="1142">
        <f>1.8629/E101</f>
        <v>1.0292265193370165</v>
      </c>
      <c r="F102" s="1142">
        <f>1.8629/F101</f>
        <v>1.0292265193370165</v>
      </c>
      <c r="G102" s="1142">
        <f>1.8629/G101</f>
        <v>1.0292265193370165</v>
      </c>
      <c r="H102" s="1142">
        <f>1.8629/H101</f>
        <v>1.0292265193370165</v>
      </c>
      <c r="I102" s="1142">
        <f>1.8629/I101</f>
        <v>1.0292265193370165</v>
      </c>
      <c r="J102" s="1142">
        <f>1.942/J101</f>
        <v>1.0729281767955801</v>
      </c>
      <c r="K102" s="1142">
        <f>1.942/K101</f>
        <v>1.0729281767955801</v>
      </c>
      <c r="L102" s="1142">
        <f>1.942/L101</f>
        <v>1.0729281767955801</v>
      </c>
      <c r="M102" s="1142">
        <f>1.942/M101</f>
        <v>1.0729281767955801</v>
      </c>
      <c r="N102" s="1142">
        <f>1.942/N101</f>
        <v>1.0729281767955801</v>
      </c>
    </row>
    <row r="103" spans="1:14">
      <c r="A103" s="3412"/>
      <c r="B103" s="1141">
        <v>2</v>
      </c>
      <c r="C103" s="1142">
        <f>1.4198/C101</f>
        <v>0.78441988950276242</v>
      </c>
      <c r="D103" s="1142">
        <f>1.4198/D101</f>
        <v>0.78441988950276242</v>
      </c>
      <c r="E103" s="1142">
        <f>1.3372/E101</f>
        <v>0.7387845303867403</v>
      </c>
      <c r="F103" s="1142">
        <f>1.3372/F101</f>
        <v>0.7387845303867403</v>
      </c>
      <c r="G103" s="1142">
        <f>1.3372/G101</f>
        <v>0.7387845303867403</v>
      </c>
      <c r="H103" s="1142">
        <f>1.3372/H101</f>
        <v>0.7387845303867403</v>
      </c>
      <c r="I103" s="1142">
        <f>1.3372/I101</f>
        <v>0.7387845303867403</v>
      </c>
      <c r="J103" s="1142">
        <f>1.2799/J101</f>
        <v>0.70712707182320444</v>
      </c>
      <c r="K103" s="1142">
        <f>1.2799/K101</f>
        <v>0.70712707182320444</v>
      </c>
      <c r="L103" s="1142">
        <f>1.2799/L101</f>
        <v>0.70712707182320444</v>
      </c>
      <c r="M103" s="1142">
        <f>1.2799/M101</f>
        <v>0.70712707182320444</v>
      </c>
      <c r="N103" s="1142">
        <f>1.2799/N101</f>
        <v>0.70712707182320444</v>
      </c>
    </row>
    <row r="104" spans="1:14">
      <c r="A104" s="3412"/>
      <c r="B104" s="1141">
        <v>3</v>
      </c>
      <c r="C104" s="1142">
        <f>1.1594/C101</f>
        <v>0.64055248618784533</v>
      </c>
      <c r="D104" s="1142">
        <f>1.1594/D101</f>
        <v>0.64055248618784533</v>
      </c>
      <c r="E104" s="1142">
        <f>1.0788/E101</f>
        <v>0.59602209944751383</v>
      </c>
      <c r="F104" s="1142">
        <f>1.0788/F101</f>
        <v>0.59602209944751383</v>
      </c>
      <c r="G104" s="1142">
        <f>1.0788/G101</f>
        <v>0.59602209944751383</v>
      </c>
      <c r="H104" s="1142">
        <f>1.0788/H101</f>
        <v>0.59602209944751383</v>
      </c>
      <c r="I104" s="1142">
        <f>1.0788/I101</f>
        <v>0.59602209944751383</v>
      </c>
      <c r="J104" s="1142">
        <f>1.0072/J101</f>
        <v>0.55646408839779005</v>
      </c>
      <c r="K104" s="1142">
        <f>1.0072/K101</f>
        <v>0.55646408839779005</v>
      </c>
      <c r="L104" s="1142">
        <f>1.0072/L101</f>
        <v>0.55646408839779005</v>
      </c>
      <c r="M104" s="1142">
        <f>1.0072/M101</f>
        <v>0.55646408839779005</v>
      </c>
      <c r="N104" s="1142">
        <f>1.0072/N101</f>
        <v>0.55646408839779005</v>
      </c>
    </row>
    <row r="105" spans="1:14">
      <c r="A105" s="3412"/>
      <c r="B105" s="1141">
        <v>4</v>
      </c>
      <c r="C105" s="1142">
        <f>0.9622/C101</f>
        <v>0.53160220994475138</v>
      </c>
      <c r="D105" s="1142">
        <f>0.9622/D101</f>
        <v>0.53160220994475138</v>
      </c>
      <c r="E105" s="1142">
        <f>0.8656/E101</f>
        <v>0.47823204419889503</v>
      </c>
      <c r="F105" s="1142">
        <f>0.8656/F101</f>
        <v>0.47823204419889503</v>
      </c>
      <c r="G105" s="1142">
        <f>0.8656/G101</f>
        <v>0.47823204419889503</v>
      </c>
      <c r="H105" s="1142">
        <f>0.8656/H101</f>
        <v>0.47823204419889503</v>
      </c>
      <c r="I105" s="1142">
        <f>0.8656/I101</f>
        <v>0.47823204419889503</v>
      </c>
      <c r="J105" s="1142">
        <f>0.7525/J101</f>
        <v>0.41574585635359113</v>
      </c>
      <c r="K105" s="1142">
        <f>0.7525/K101</f>
        <v>0.41574585635359113</v>
      </c>
      <c r="L105" s="1142">
        <f>0.7525/L101</f>
        <v>0.41574585635359113</v>
      </c>
      <c r="M105" s="1142">
        <f>0.7525/M101</f>
        <v>0.41574585635359113</v>
      </c>
      <c r="N105" s="1142">
        <f>0.7525/N101</f>
        <v>0.41574585635359113</v>
      </c>
    </row>
    <row r="106" spans="1:14">
      <c r="A106" s="3412"/>
      <c r="B106" s="1141">
        <v>5</v>
      </c>
      <c r="C106" s="1142">
        <f>0.8417/C101</f>
        <v>0.46502762430939226</v>
      </c>
      <c r="D106" s="1142">
        <f>0.8417/D101</f>
        <v>0.46502762430939226</v>
      </c>
      <c r="E106" s="1142">
        <f>0.7371/E101</f>
        <v>0.40723756906077346</v>
      </c>
      <c r="F106" s="1142">
        <f>0.7371/F101</f>
        <v>0.40723756906077346</v>
      </c>
      <c r="G106" s="1142">
        <f>0.7371/G101</f>
        <v>0.40723756906077346</v>
      </c>
      <c r="H106" s="1142">
        <f>0.7371/H101</f>
        <v>0.40723756906077346</v>
      </c>
      <c r="I106" s="1142">
        <f>0.7371/I101</f>
        <v>0.40723756906077346</v>
      </c>
      <c r="J106" s="1142">
        <f>0.5659/J101</f>
        <v>0.31265193370165745</v>
      </c>
      <c r="K106" s="1142">
        <f>0.5659/K101</f>
        <v>0.31265193370165745</v>
      </c>
      <c r="L106" s="1142">
        <f>0.5659/L101</f>
        <v>0.31265193370165745</v>
      </c>
      <c r="M106" s="1142">
        <f>0.5659/M101</f>
        <v>0.31265193370165745</v>
      </c>
      <c r="N106" s="1142">
        <f>0.5659/N101</f>
        <v>0.31265193370165745</v>
      </c>
    </row>
    <row r="107" spans="1:14">
      <c r="A107" s="3412"/>
      <c r="B107" s="1141">
        <v>6</v>
      </c>
      <c r="C107" s="1142">
        <f>0.7608/C101</f>
        <v>0.42033149171270717</v>
      </c>
      <c r="D107" s="1142">
        <f>0.7608/D101</f>
        <v>0.42033149171270717</v>
      </c>
      <c r="E107" s="1142">
        <f>0.6482/E101</f>
        <v>0.35812154696132598</v>
      </c>
      <c r="F107" s="1142">
        <f>0.6482/F101</f>
        <v>0.35812154696132598</v>
      </c>
      <c r="G107" s="1142">
        <f>0.6482/G101</f>
        <v>0.35812154696132598</v>
      </c>
      <c r="H107" s="1142">
        <f>0.6482/H101</f>
        <v>0.35812154696132598</v>
      </c>
      <c r="I107" s="1142">
        <f>0.6482/I101</f>
        <v>0.35812154696132598</v>
      </c>
      <c r="J107" s="1142">
        <f>0.4525/J101</f>
        <v>0.25</v>
      </c>
      <c r="K107" s="1142">
        <f>0.4525/K101</f>
        <v>0.25</v>
      </c>
      <c r="L107" s="1142">
        <f>0.4525/L101</f>
        <v>0.25</v>
      </c>
      <c r="M107" s="1142">
        <f>0.4525/M101</f>
        <v>0.25</v>
      </c>
      <c r="N107" s="1142">
        <f>0.4525/N101</f>
        <v>0.25</v>
      </c>
    </row>
    <row r="108" spans="1:14">
      <c r="A108" s="3412"/>
      <c r="B108" s="341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3"/>
      <c r="B109" s="3415"/>
      <c r="C109" s="1144">
        <f>(-0.163*(C108^2)-0.59*C108+7617)*(10^(-4))/C101</f>
        <v>0.41999160220994475</v>
      </c>
      <c r="D109" s="1144">
        <f>(-0.163*(D108^2)-0.59*D108+7617)*(10^(-4))/D101</f>
        <v>0.41999160220994475</v>
      </c>
      <c r="E109" s="1144">
        <f>(-0.161*(E108^2)-7.509*E108+6533)*(10^(-4))/E101</f>
        <v>0.3570510497237569</v>
      </c>
      <c r="F109" s="1144">
        <f>(-0.161*(F108^2)-7.509*F108+6533)*(10^(-4))/F101</f>
        <v>0.3570510497237569</v>
      </c>
      <c r="G109" s="1144">
        <f>(-0.161*(G108^2)-7.509*G108+6533)*(10^(-4))/G101</f>
        <v>0.3570510497237569</v>
      </c>
      <c r="H109" s="1144">
        <f>(-0.161*(H108^2)-7.509*H108+6533)*(10^(-4))/H101</f>
        <v>0.3570510497237569</v>
      </c>
      <c r="I109" s="1144">
        <f>(-0.161*(I108^2)-7.509*I108+6533)*(10^(-4))/I101</f>
        <v>0.3570510497237569</v>
      </c>
      <c r="J109" s="1144">
        <f>(-0.214*(J108^2)-21.991*J108+4665)*(10^(-4))/J101</f>
        <v>0.24725834254143647</v>
      </c>
      <c r="K109" s="1144">
        <f>(-0.214*(K108^2)-21.991*K108+4665)*(10^(-4))/K101</f>
        <v>0.24725834254143647</v>
      </c>
      <c r="L109" s="1144">
        <f>(-0.214*(L108^2)-21.991*L108+4665)*(10^(-4))/L101</f>
        <v>0.24725834254143647</v>
      </c>
      <c r="M109" s="1144">
        <f>(-0.214*(M108^2)-21.991*M108+4665)*(10^(-4))/M101</f>
        <v>0.24725834254143647</v>
      </c>
      <c r="N109" s="1144">
        <f>(-0.214*(N108^2)-21.991*N108+4665)*(10^(-4))/N101</f>
        <v>0.24725834254143647</v>
      </c>
    </row>
    <row r="110" spans="1:14">
      <c r="A110" s="3416" t="s">
        <v>1640</v>
      </c>
      <c r="B110" s="3416"/>
      <c r="C110" s="3416"/>
      <c r="D110" s="3416"/>
      <c r="E110" s="3416"/>
      <c r="F110" s="3416"/>
      <c r="G110" s="3416"/>
      <c r="H110" s="3416"/>
      <c r="I110" s="3416"/>
      <c r="J110" s="3416"/>
      <c r="K110" s="2448"/>
      <c r="L110" s="2448"/>
      <c r="M110" s="2448"/>
      <c r="N110" s="2448"/>
    </row>
    <row r="112" spans="1:14" ht="12.75" thickBot="1"/>
    <row r="113" spans="1:13" ht="25.5" thickBot="1">
      <c r="A113" s="1014" t="s">
        <v>896</v>
      </c>
      <c r="B113" s="2451">
        <f>G3</f>
        <v>1.81</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0.91649999999999998</v>
      </c>
      <c r="C115" s="1028">
        <f>B115</f>
        <v>0.91649999999999998</v>
      </c>
      <c r="D115" s="1028">
        <f>ROUND(0.8331-0.0109*B113,4)</f>
        <v>0.81340000000000001</v>
      </c>
      <c r="E115" s="1028">
        <f>D115</f>
        <v>0.81340000000000001</v>
      </c>
      <c r="F115" s="1028">
        <f>E115</f>
        <v>0.81340000000000001</v>
      </c>
      <c r="G115" s="1028">
        <f>F115</f>
        <v>0.81340000000000001</v>
      </c>
      <c r="H115" s="1028">
        <f>G115</f>
        <v>0.81340000000000001</v>
      </c>
      <c r="I115" s="1028">
        <f>ROUND(0.689-0.0155*B113,4)</f>
        <v>0.66090000000000004</v>
      </c>
      <c r="J115" s="1028">
        <f t="shared" ref="J115:M118" si="33">I115</f>
        <v>0.66090000000000004</v>
      </c>
      <c r="K115" s="1028">
        <f t="shared" si="33"/>
        <v>0.66090000000000004</v>
      </c>
      <c r="L115" s="1028">
        <f t="shared" si="33"/>
        <v>0.66090000000000004</v>
      </c>
      <c r="M115" s="1029">
        <f t="shared" si="33"/>
        <v>0.66090000000000004</v>
      </c>
    </row>
    <row r="116" spans="1:13" ht="12.75">
      <c r="A116" s="1027" t="s">
        <v>901</v>
      </c>
      <c r="B116" s="1028">
        <f>ROUND(0.949-0.012*B113,4)</f>
        <v>0.92730000000000001</v>
      </c>
      <c r="C116" s="1028">
        <f>B116</f>
        <v>0.92730000000000001</v>
      </c>
      <c r="D116" s="1028">
        <f>ROUND(0.8567-0.013*B113,4)</f>
        <v>0.83320000000000005</v>
      </c>
      <c r="E116" s="1028">
        <f t="shared" ref="E116:H117" si="34">D116</f>
        <v>0.83320000000000005</v>
      </c>
      <c r="F116" s="1028">
        <f t="shared" si="34"/>
        <v>0.83320000000000005</v>
      </c>
      <c r="G116" s="1028">
        <f t="shared" si="34"/>
        <v>0.83320000000000005</v>
      </c>
      <c r="H116" s="1028">
        <f t="shared" si="34"/>
        <v>0.83320000000000005</v>
      </c>
      <c r="I116" s="1028">
        <f>ROUND(0.7694-0.014*B113,4)</f>
        <v>0.74409999999999998</v>
      </c>
      <c r="J116" s="1028">
        <f t="shared" si="33"/>
        <v>0.74409999999999998</v>
      </c>
      <c r="K116" s="1028">
        <f t="shared" si="33"/>
        <v>0.74409999999999998</v>
      </c>
      <c r="L116" s="1028">
        <f t="shared" si="33"/>
        <v>0.74409999999999998</v>
      </c>
      <c r="M116" s="1029">
        <f t="shared" si="33"/>
        <v>0.74409999999999998</v>
      </c>
    </row>
    <row r="117" spans="1:13" ht="12.75">
      <c r="A117" s="1030" t="s">
        <v>902</v>
      </c>
      <c r="B117" s="1028">
        <f>ROUND(0.8808-0.006*B113,4)</f>
        <v>0.86990000000000001</v>
      </c>
      <c r="C117" s="1028">
        <f>B117</f>
        <v>0.86990000000000001</v>
      </c>
      <c r="D117" s="1028">
        <f>ROUND(0.8748-0.008*B113,4)</f>
        <v>0.86029999999999995</v>
      </c>
      <c r="E117" s="1028">
        <f t="shared" si="34"/>
        <v>0.86029999999999995</v>
      </c>
      <c r="F117" s="1028">
        <f t="shared" si="34"/>
        <v>0.86029999999999995</v>
      </c>
      <c r="G117" s="1028">
        <f t="shared" si="34"/>
        <v>0.86029999999999995</v>
      </c>
      <c r="H117" s="1028">
        <f t="shared" si="34"/>
        <v>0.86029999999999995</v>
      </c>
      <c r="I117" s="1028">
        <f>ROUND(0.7412-0.0095*B113,4)</f>
        <v>0.72399999999999998</v>
      </c>
      <c r="J117" s="1028">
        <f t="shared" si="33"/>
        <v>0.72399999999999998</v>
      </c>
      <c r="K117" s="1028">
        <f t="shared" si="33"/>
        <v>0.72399999999999998</v>
      </c>
      <c r="L117" s="1028">
        <f t="shared" si="33"/>
        <v>0.72399999999999998</v>
      </c>
      <c r="M117" s="1029">
        <f t="shared" si="33"/>
        <v>0.72399999999999998</v>
      </c>
    </row>
    <row r="118" spans="1:13" ht="13.5" thickBot="1">
      <c r="A118" s="1031" t="s">
        <v>903</v>
      </c>
      <c r="B118" s="1032">
        <f>ROUND(0.7275-0.01*B113,4)</f>
        <v>0.70940000000000003</v>
      </c>
      <c r="C118" s="1032">
        <f>B118</f>
        <v>0.70940000000000003</v>
      </c>
      <c r="D118" s="1032">
        <f>ROUND(0.7043-0.012*B113,4)</f>
        <v>0.68259999999999998</v>
      </c>
      <c r="E118" s="1032">
        <f>D118</f>
        <v>0.68259999999999998</v>
      </c>
      <c r="F118" s="1032">
        <f>E118</f>
        <v>0.68259999999999998</v>
      </c>
      <c r="G118" s="1032">
        <f>ROUND(0.6299-0.0122*B113,4)</f>
        <v>0.60780000000000001</v>
      </c>
      <c r="H118" s="1032">
        <f>G118</f>
        <v>0.60780000000000001</v>
      </c>
      <c r="I118" s="1032">
        <f>ROUND(0.5667-0.0136*B113,4)</f>
        <v>0.54210000000000003</v>
      </c>
      <c r="J118" s="1032">
        <f t="shared" si="33"/>
        <v>0.54210000000000003</v>
      </c>
      <c r="K118" s="1032">
        <f t="shared" si="33"/>
        <v>0.54210000000000003</v>
      </c>
      <c r="L118" s="1032">
        <f t="shared" si="33"/>
        <v>0.54210000000000003</v>
      </c>
      <c r="M118" s="1033">
        <f t="shared" si="33"/>
        <v>0.54210000000000003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22" t="s">
        <v>1008</v>
      </c>
      <c r="B18" s="1152" t="s">
        <v>1447</v>
      </c>
      <c r="C18" s="1129" t="s">
        <v>1448</v>
      </c>
      <c r="D18" s="1130"/>
      <c r="E18" s="1152">
        <v>1</v>
      </c>
      <c r="F18" s="1131" t="s">
        <v>1449</v>
      </c>
      <c r="G18" s="1132"/>
      <c r="H18" s="1103"/>
      <c r="I18" s="1103"/>
    </row>
    <row r="19" spans="1:9" s="1598" customFormat="1" ht="19.5" customHeight="1">
      <c r="A19" s="3422"/>
      <c r="B19" s="3422" t="s">
        <v>1450</v>
      </c>
      <c r="C19" s="1129" t="s">
        <v>1451</v>
      </c>
      <c r="D19" s="1130"/>
      <c r="E19" s="1152">
        <v>0.9</v>
      </c>
      <c r="F19" s="1131" t="s">
        <v>1452</v>
      </c>
      <c r="G19" s="1132"/>
      <c r="H19" s="1103"/>
      <c r="I19" s="1103"/>
    </row>
    <row r="20" spans="1:9" s="1598" customFormat="1" ht="19.5" customHeight="1">
      <c r="A20" s="3422"/>
      <c r="B20" s="3422"/>
      <c r="C20" s="1129" t="s">
        <v>1453</v>
      </c>
      <c r="D20" s="1130"/>
      <c r="E20" s="1152">
        <v>1.1000000000000001</v>
      </c>
      <c r="F20" s="1131" t="s">
        <v>1454</v>
      </c>
      <c r="G20" s="1132"/>
      <c r="H20" s="1103"/>
      <c r="I20" s="1103"/>
    </row>
    <row r="21" spans="1:9" s="1598" customFormat="1" ht="19.5" customHeight="1">
      <c r="A21" s="3422"/>
      <c r="B21" s="3422"/>
      <c r="C21" s="1129" t="s">
        <v>1455</v>
      </c>
      <c r="D21" s="1130"/>
      <c r="E21" s="1152">
        <v>0.8</v>
      </c>
      <c r="F21" s="1131" t="s">
        <v>1456</v>
      </c>
      <c r="G21" s="1132"/>
      <c r="H21" s="1103"/>
      <c r="I21" s="1103"/>
    </row>
    <row r="22" spans="1:9" s="1598" customFormat="1" ht="19.5" customHeight="1">
      <c r="A22" s="3422"/>
      <c r="B22" s="3422"/>
      <c r="C22" s="1129" t="s">
        <v>1457</v>
      </c>
      <c r="D22" s="1130"/>
      <c r="E22" s="1152">
        <v>0.5</v>
      </c>
      <c r="F22" s="1131"/>
      <c r="G22" s="1132"/>
      <c r="H22" s="1103"/>
      <c r="I22" s="1103"/>
    </row>
    <row r="23" spans="1:9" s="1598" customFormat="1" ht="19.5" customHeight="1">
      <c r="A23" s="3422" t="s">
        <v>1030</v>
      </c>
      <c r="B23" s="1152" t="s">
        <v>1447</v>
      </c>
      <c r="C23" s="1129" t="s">
        <v>1458</v>
      </c>
      <c r="D23" s="1130"/>
      <c r="E23" s="1152">
        <v>1</v>
      </c>
      <c r="F23" s="1131" t="s">
        <v>1459</v>
      </c>
      <c r="G23" s="1132"/>
      <c r="H23" s="1103"/>
      <c r="I23" s="1103"/>
    </row>
    <row r="24" spans="1:9" s="1598" customFormat="1" ht="19.5" customHeight="1">
      <c r="A24" s="3422"/>
      <c r="B24" s="3422" t="s">
        <v>1450</v>
      </c>
      <c r="C24" s="1129" t="s">
        <v>1460</v>
      </c>
      <c r="D24" s="1130"/>
      <c r="E24" s="1152">
        <v>0.5</v>
      </c>
      <c r="F24" s="1131"/>
      <c r="G24" s="1132"/>
      <c r="H24" s="1103"/>
      <c r="I24" s="1103"/>
    </row>
    <row r="25" spans="1:9" s="1598" customFormat="1" ht="19.5" customHeight="1">
      <c r="A25" s="3422"/>
      <c r="B25" s="3422"/>
      <c r="C25" s="1129" t="s">
        <v>1461</v>
      </c>
      <c r="D25" s="1130"/>
      <c r="E25" s="1152">
        <v>1.1000000000000001</v>
      </c>
      <c r="F25" s="1131"/>
      <c r="G25" s="1132"/>
      <c r="H25" s="1103"/>
      <c r="I25" s="1103"/>
    </row>
    <row r="26" spans="1:9" s="1598" customFormat="1" ht="19.5" customHeight="1">
      <c r="A26" s="3422"/>
      <c r="B26" s="3422"/>
      <c r="C26" s="1129" t="s">
        <v>1462</v>
      </c>
      <c r="D26" s="1130"/>
      <c r="E26" s="1152">
        <v>1.1000000000000001</v>
      </c>
      <c r="F26" s="1131"/>
      <c r="G26" s="1132"/>
      <c r="H26" s="1103"/>
      <c r="I26" s="1103"/>
    </row>
    <row r="27" spans="1:9" s="1598" customFormat="1" ht="19.5" customHeight="1">
      <c r="A27" s="3422"/>
      <c r="B27" s="3422"/>
      <c r="C27" s="1129" t="s">
        <v>1463</v>
      </c>
      <c r="D27" s="1130"/>
      <c r="E27" s="1152">
        <v>0.9</v>
      </c>
      <c r="F27" s="1131" t="s">
        <v>1464</v>
      </c>
      <c r="G27" s="1132"/>
      <c r="H27" s="1103"/>
      <c r="I27" s="1103"/>
    </row>
    <row r="28" spans="1:9" s="1598" customFormat="1" ht="19.5" customHeight="1">
      <c r="A28" s="3422"/>
      <c r="B28" s="3422"/>
      <c r="C28" s="1129" t="s">
        <v>1465</v>
      </c>
      <c r="D28" s="1130"/>
      <c r="E28" s="1152">
        <v>0.9</v>
      </c>
      <c r="F28" s="1131" t="s">
        <v>1466</v>
      </c>
      <c r="G28" s="1132"/>
      <c r="H28" s="1103"/>
      <c r="I28" s="1103"/>
    </row>
    <row r="29" spans="1:9" s="1598" customFormat="1" ht="19.5" customHeight="1">
      <c r="A29" s="3422"/>
      <c r="B29" s="3422"/>
      <c r="C29" s="1129" t="s">
        <v>1467</v>
      </c>
      <c r="D29" s="1130"/>
      <c r="E29" s="1152">
        <v>0.9</v>
      </c>
      <c r="F29" s="1131" t="s">
        <v>1468</v>
      </c>
      <c r="G29" s="1132"/>
      <c r="H29" s="1103"/>
      <c r="I29" s="1103"/>
    </row>
    <row r="30" spans="1:9" s="1598" customFormat="1" ht="19.5" customHeight="1">
      <c r="A30" s="3422"/>
      <c r="B30" s="3422"/>
      <c r="C30" s="1129" t="s">
        <v>1469</v>
      </c>
      <c r="D30" s="1130"/>
      <c r="E30" s="1152">
        <v>0.9</v>
      </c>
      <c r="F30" s="1131" t="s">
        <v>1470</v>
      </c>
      <c r="G30" s="1132"/>
      <c r="H30" s="1103"/>
      <c r="I30" s="1103"/>
    </row>
    <row r="31" spans="1:9" s="1598" customFormat="1" ht="19.5" customHeight="1">
      <c r="A31" s="3422"/>
      <c r="B31" s="3422"/>
      <c r="C31" s="1129" t="s">
        <v>1471</v>
      </c>
      <c r="D31" s="1130"/>
      <c r="E31" s="1152">
        <v>0.8</v>
      </c>
      <c r="F31" s="1131" t="s">
        <v>1472</v>
      </c>
      <c r="G31" s="1132"/>
      <c r="H31" s="1103"/>
      <c r="I31" s="1103"/>
    </row>
    <row r="32" spans="1:9" s="1598" customFormat="1" ht="19.5" customHeight="1">
      <c r="A32" s="3422"/>
      <c r="B32" s="3422"/>
      <c r="C32" s="1129" t="s">
        <v>1473</v>
      </c>
      <c r="D32" s="1130"/>
      <c r="E32" s="1152">
        <v>0.8</v>
      </c>
      <c r="F32" s="1131" t="s">
        <v>1474</v>
      </c>
      <c r="G32" s="1132"/>
      <c r="H32" s="1103"/>
      <c r="I32" s="1103"/>
    </row>
    <row r="33" spans="1:9" s="1598" customFormat="1" ht="19.5" customHeight="1">
      <c r="A33" s="3422" t="s">
        <v>1475</v>
      </c>
      <c r="B33" s="1152" t="s">
        <v>1447</v>
      </c>
      <c r="C33" s="1129" t="s">
        <v>1476</v>
      </c>
      <c r="D33" s="1130"/>
      <c r="E33" s="1152">
        <v>1</v>
      </c>
      <c r="F33" s="1131" t="s">
        <v>1477</v>
      </c>
      <c r="G33" s="1132"/>
      <c r="H33" s="1103"/>
      <c r="I33" s="1103"/>
    </row>
    <row r="34" spans="1:9" s="1598" customFormat="1" ht="19.5" customHeight="1">
      <c r="A34" s="3422"/>
      <c r="B34" s="1152" t="s">
        <v>1450</v>
      </c>
      <c r="C34" s="1129" t="s">
        <v>1478</v>
      </c>
      <c r="D34" s="1130"/>
      <c r="E34" s="1152">
        <v>1.5</v>
      </c>
      <c r="F34" s="1131" t="s">
        <v>1479</v>
      </c>
      <c r="G34" s="1132"/>
      <c r="H34" s="1103"/>
      <c r="I34" s="1103"/>
    </row>
    <row r="35" spans="1:9" s="1598" customFormat="1" ht="19.5" customHeight="1">
      <c r="A35" s="3422" t="s">
        <v>1433</v>
      </c>
      <c r="B35" s="1152" t="s">
        <v>1447</v>
      </c>
      <c r="C35" s="1129" t="s">
        <v>1480</v>
      </c>
      <c r="D35" s="1130"/>
      <c r="E35" s="1152">
        <v>1</v>
      </c>
      <c r="F35" s="1131" t="s">
        <v>1481</v>
      </c>
      <c r="G35" s="1132"/>
      <c r="H35" s="1103"/>
      <c r="I35" s="1103"/>
    </row>
    <row r="36" spans="1:9" s="1598" customFormat="1" ht="19.5" customHeight="1">
      <c r="A36" s="3422"/>
      <c r="B36" s="3422" t="s">
        <v>1450</v>
      </c>
      <c r="C36" s="1129" t="s">
        <v>1482</v>
      </c>
      <c r="D36" s="1130"/>
      <c r="E36" s="1152">
        <v>1</v>
      </c>
      <c r="F36" s="1131" t="s">
        <v>1483</v>
      </c>
      <c r="G36" s="1132"/>
      <c r="H36" s="1103"/>
      <c r="I36" s="1103"/>
    </row>
    <row r="37" spans="1:9" s="1598" customFormat="1" ht="19.5" customHeight="1">
      <c r="A37" s="3422"/>
      <c r="B37" s="3422"/>
      <c r="C37" s="1129" t="s">
        <v>1484</v>
      </c>
      <c r="D37" s="1130"/>
      <c r="E37" s="1152">
        <v>1.5</v>
      </c>
      <c r="F37" s="1131" t="s">
        <v>1485</v>
      </c>
      <c r="G37" s="1132"/>
      <c r="H37" s="1103"/>
      <c r="I37" s="1103"/>
    </row>
    <row r="38" spans="1:9" s="1598" customFormat="1" ht="19.5" customHeight="1">
      <c r="A38" s="3422"/>
      <c r="B38" s="3422"/>
      <c r="C38" s="1129" t="s">
        <v>1486</v>
      </c>
      <c r="D38" s="1130"/>
      <c r="E38" s="1152">
        <v>1</v>
      </c>
      <c r="F38" s="1131" t="s">
        <v>1487</v>
      </c>
      <c r="G38" s="1132"/>
      <c r="H38" s="1103"/>
      <c r="I38" s="1103"/>
    </row>
    <row r="39" spans="1:9" s="1598" customFormat="1" ht="19.5" customHeight="1">
      <c r="A39" s="3422"/>
      <c r="B39" s="3422"/>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2" t="s">
        <v>1502</v>
      </c>
      <c r="C61" s="1066" t="s">
        <v>1503</v>
      </c>
      <c r="D61" s="1066" t="s">
        <v>1504</v>
      </c>
      <c r="E61" s="1137">
        <v>0.5</v>
      </c>
      <c r="F61" s="1152">
        <v>80</v>
      </c>
      <c r="H61" s="1103">
        <f>SUMIF(C59:C119,基准地价!C8,E59:E119)</f>
        <v>0</v>
      </c>
    </row>
    <row r="62" spans="1:8" s="1103" customFormat="1" ht="24">
      <c r="A62" s="1152">
        <v>2</v>
      </c>
      <c r="B62" s="3422"/>
      <c r="C62" s="1066" t="s">
        <v>1505</v>
      </c>
      <c r="D62" s="1066" t="s">
        <v>1506</v>
      </c>
      <c r="E62" s="1137">
        <v>0.5</v>
      </c>
      <c r="F62" s="1152">
        <v>80</v>
      </c>
    </row>
    <row r="63" spans="1:8" s="1103" customFormat="1" ht="36">
      <c r="A63" s="1152">
        <v>3</v>
      </c>
      <c r="B63" s="3422"/>
      <c r="C63" s="1066" t="s">
        <v>1507</v>
      </c>
      <c r="D63" s="1066" t="s">
        <v>1508</v>
      </c>
      <c r="E63" s="1137">
        <v>0.5</v>
      </c>
      <c r="F63" s="1152">
        <v>80</v>
      </c>
    </row>
    <row r="64" spans="1:8" s="1103" customFormat="1" ht="36">
      <c r="A64" s="1152">
        <v>4</v>
      </c>
      <c r="B64" s="3422"/>
      <c r="C64" s="1066" t="s">
        <v>1509</v>
      </c>
      <c r="D64" s="1066" t="s">
        <v>1510</v>
      </c>
      <c r="E64" s="1137">
        <v>0.4</v>
      </c>
      <c r="F64" s="1152">
        <v>60</v>
      </c>
    </row>
    <row r="65" spans="1:6" s="1103" customFormat="1" ht="36">
      <c r="A65" s="1152">
        <v>5</v>
      </c>
      <c r="B65" s="3422"/>
      <c r="C65" s="1066" t="s">
        <v>1511</v>
      </c>
      <c r="D65" s="1066" t="s">
        <v>1512</v>
      </c>
      <c r="E65" s="1137">
        <v>0.2</v>
      </c>
      <c r="F65" s="1152">
        <v>30</v>
      </c>
    </row>
    <row r="66" spans="1:6" s="1103" customFormat="1" ht="36">
      <c r="A66" s="1152">
        <v>6</v>
      </c>
      <c r="B66" s="3422"/>
      <c r="C66" s="1066" t="s">
        <v>1513</v>
      </c>
      <c r="D66" s="1066" t="s">
        <v>1514</v>
      </c>
      <c r="E66" s="1137">
        <v>0.3</v>
      </c>
      <c r="F66" s="1152">
        <v>50</v>
      </c>
    </row>
    <row r="67" spans="1:6" s="1103" customFormat="1" ht="36">
      <c r="A67" s="1152">
        <v>7</v>
      </c>
      <c r="B67" s="3422"/>
      <c r="C67" s="1066" t="s">
        <v>1515</v>
      </c>
      <c r="D67" s="1066" t="s">
        <v>1516</v>
      </c>
      <c r="E67" s="1137">
        <v>0.2</v>
      </c>
      <c r="F67" s="1152">
        <v>30</v>
      </c>
    </row>
    <row r="68" spans="1:6" s="1103" customFormat="1" ht="36">
      <c r="A68" s="1152">
        <v>8</v>
      </c>
      <c r="B68" s="3422"/>
      <c r="C68" s="1066" t="s">
        <v>1517</v>
      </c>
      <c r="D68" s="1066" t="s">
        <v>1518</v>
      </c>
      <c r="E68" s="1137">
        <v>0.2</v>
      </c>
      <c r="F68" s="1152">
        <v>30</v>
      </c>
    </row>
    <row r="69" spans="1:6" s="1103" customFormat="1" ht="36">
      <c r="A69" s="1152">
        <v>9</v>
      </c>
      <c r="B69" s="3422"/>
      <c r="C69" s="1066" t="s">
        <v>1519</v>
      </c>
      <c r="D69" s="1066" t="s">
        <v>1520</v>
      </c>
      <c r="E69" s="1137">
        <v>0.2</v>
      </c>
      <c r="F69" s="1152">
        <v>30</v>
      </c>
    </row>
    <row r="70" spans="1:6" s="1103" customFormat="1" ht="48">
      <c r="A70" s="1152">
        <v>10</v>
      </c>
      <c r="B70" s="3422"/>
      <c r="C70" s="1066" t="s">
        <v>1521</v>
      </c>
      <c r="D70" s="1066" t="s">
        <v>1522</v>
      </c>
      <c r="E70" s="1137">
        <v>0.2</v>
      </c>
      <c r="F70" s="1152">
        <v>30</v>
      </c>
    </row>
    <row r="71" spans="1:6" s="1103" customFormat="1" ht="48">
      <c r="A71" s="1152">
        <v>11</v>
      </c>
      <c r="B71" s="3422"/>
      <c r="C71" s="1066" t="s">
        <v>1523</v>
      </c>
      <c r="D71" s="1066" t="s">
        <v>1524</v>
      </c>
      <c r="E71" s="1137">
        <v>0.2</v>
      </c>
      <c r="F71" s="1152">
        <v>30</v>
      </c>
    </row>
    <row r="72" spans="1:6" s="1103" customFormat="1" ht="36">
      <c r="A72" s="1152">
        <v>12</v>
      </c>
      <c r="B72" s="3422"/>
      <c r="C72" s="1066" t="s">
        <v>1525</v>
      </c>
      <c r="D72" s="1066" t="s">
        <v>1526</v>
      </c>
      <c r="E72" s="1137">
        <v>0.5</v>
      </c>
      <c r="F72" s="1152">
        <v>80</v>
      </c>
    </row>
    <row r="73" spans="1:6" s="1103" customFormat="1" ht="24">
      <c r="A73" s="1152">
        <v>13</v>
      </c>
      <c r="B73" s="3422"/>
      <c r="C73" s="1066" t="s">
        <v>1527</v>
      </c>
      <c r="D73" s="1066" t="s">
        <v>1528</v>
      </c>
      <c r="E73" s="1137">
        <v>0.4</v>
      </c>
      <c r="F73" s="1152">
        <v>60</v>
      </c>
    </row>
    <row r="74" spans="1:6" s="1103" customFormat="1" ht="24">
      <c r="A74" s="1152">
        <v>14</v>
      </c>
      <c r="B74" s="3422"/>
      <c r="C74" s="1066" t="s">
        <v>1529</v>
      </c>
      <c r="D74" s="1066" t="s">
        <v>1530</v>
      </c>
      <c r="E74" s="1137">
        <v>0.2</v>
      </c>
      <c r="F74" s="1152">
        <v>30</v>
      </c>
    </row>
    <row r="75" spans="1:6" s="1103" customFormat="1" ht="24">
      <c r="A75" s="1152">
        <v>15</v>
      </c>
      <c r="B75" s="3422"/>
      <c r="C75" s="1066" t="s">
        <v>1531</v>
      </c>
      <c r="D75" s="1066" t="s">
        <v>1532</v>
      </c>
      <c r="E75" s="1137">
        <v>0.2</v>
      </c>
      <c r="F75" s="1152">
        <v>30</v>
      </c>
    </row>
    <row r="76" spans="1:6" s="1103" customFormat="1" ht="24">
      <c r="A76" s="1152">
        <v>16</v>
      </c>
      <c r="B76" s="3422" t="s">
        <v>1533</v>
      </c>
      <c r="C76" s="1066" t="s">
        <v>1534</v>
      </c>
      <c r="D76" s="1066" t="s">
        <v>1535</v>
      </c>
      <c r="E76" s="1137">
        <v>0.5</v>
      </c>
      <c r="F76" s="1152">
        <v>80</v>
      </c>
    </row>
    <row r="77" spans="1:6" s="1103" customFormat="1" ht="24">
      <c r="A77" s="1152">
        <v>17</v>
      </c>
      <c r="B77" s="3422"/>
      <c r="C77" s="1066" t="s">
        <v>1536</v>
      </c>
      <c r="D77" s="1066" t="s">
        <v>1537</v>
      </c>
      <c r="E77" s="1137">
        <v>0.5</v>
      </c>
      <c r="F77" s="1152">
        <v>80</v>
      </c>
    </row>
    <row r="78" spans="1:6" s="1103" customFormat="1" ht="24">
      <c r="A78" s="1152">
        <v>18</v>
      </c>
      <c r="B78" s="3422"/>
      <c r="C78" s="1066" t="s">
        <v>1538</v>
      </c>
      <c r="D78" s="1066" t="s">
        <v>1539</v>
      </c>
      <c r="E78" s="1137">
        <v>0.2</v>
      </c>
      <c r="F78" s="1152">
        <v>30</v>
      </c>
    </row>
    <row r="79" spans="1:6" s="1103" customFormat="1" ht="24">
      <c r="A79" s="1152">
        <v>19</v>
      </c>
      <c r="B79" s="3422"/>
      <c r="C79" s="1066" t="s">
        <v>1540</v>
      </c>
      <c r="D79" s="1066" t="s">
        <v>1541</v>
      </c>
      <c r="E79" s="1137">
        <v>0.5</v>
      </c>
      <c r="F79" s="1152">
        <v>80</v>
      </c>
    </row>
    <row r="80" spans="1:6" s="1103" customFormat="1" ht="36">
      <c r="A80" s="1152">
        <v>20</v>
      </c>
      <c r="B80" s="3422"/>
      <c r="C80" s="1066" t="s">
        <v>1542</v>
      </c>
      <c r="D80" s="1066" t="s">
        <v>1543</v>
      </c>
      <c r="E80" s="1137">
        <v>0.2</v>
      </c>
      <c r="F80" s="1152">
        <v>30</v>
      </c>
    </row>
    <row r="81" spans="1:6" s="1103" customFormat="1" ht="36">
      <c r="A81" s="1152">
        <v>21</v>
      </c>
      <c r="B81" s="3422"/>
      <c r="C81" s="1066" t="s">
        <v>1544</v>
      </c>
      <c r="D81" s="1066" t="s">
        <v>1545</v>
      </c>
      <c r="E81" s="1137">
        <v>0.2</v>
      </c>
      <c r="F81" s="1152">
        <v>30</v>
      </c>
    </row>
    <row r="82" spans="1:6" s="1103" customFormat="1" ht="48">
      <c r="A82" s="1152">
        <v>22</v>
      </c>
      <c r="B82" s="3422"/>
      <c r="C82" s="1066" t="s">
        <v>1546</v>
      </c>
      <c r="D82" s="1066" t="s">
        <v>1547</v>
      </c>
      <c r="E82" s="1137">
        <v>0.2</v>
      </c>
      <c r="F82" s="1152">
        <v>30</v>
      </c>
    </row>
    <row r="83" spans="1:6" s="1103" customFormat="1" ht="48">
      <c r="A83" s="1152">
        <v>23</v>
      </c>
      <c r="B83" s="3422"/>
      <c r="C83" s="1066" t="s">
        <v>1548</v>
      </c>
      <c r="D83" s="1066" t="s">
        <v>1549</v>
      </c>
      <c r="E83" s="1137">
        <v>0.2</v>
      </c>
      <c r="F83" s="1152">
        <v>30</v>
      </c>
    </row>
    <row r="84" spans="1:6" s="1103" customFormat="1" ht="36">
      <c r="A84" s="1152">
        <v>24</v>
      </c>
      <c r="B84" s="3422"/>
      <c r="C84" s="1066" t="s">
        <v>1550</v>
      </c>
      <c r="D84" s="1066" t="s">
        <v>1551</v>
      </c>
      <c r="E84" s="1137">
        <v>0.2</v>
      </c>
      <c r="F84" s="1152">
        <v>30</v>
      </c>
    </row>
    <row r="85" spans="1:6" s="1103" customFormat="1" ht="36">
      <c r="A85" s="1152">
        <v>25</v>
      </c>
      <c r="B85" s="3422"/>
      <c r="C85" s="1066" t="s">
        <v>1552</v>
      </c>
      <c r="D85" s="1066" t="s">
        <v>1553</v>
      </c>
      <c r="E85" s="1137">
        <v>0.5</v>
      </c>
      <c r="F85" s="1152">
        <v>80</v>
      </c>
    </row>
    <row r="86" spans="1:6" s="1103" customFormat="1" ht="36">
      <c r="A86" s="1152">
        <v>26</v>
      </c>
      <c r="B86" s="3422"/>
      <c r="C86" s="1066" t="s">
        <v>1554</v>
      </c>
      <c r="D86" s="1066" t="s">
        <v>1555</v>
      </c>
      <c r="E86" s="1137">
        <v>0.2</v>
      </c>
      <c r="F86" s="1152">
        <v>30</v>
      </c>
    </row>
    <row r="87" spans="1:6" s="1103" customFormat="1" ht="36">
      <c r="A87" s="1152">
        <v>27</v>
      </c>
      <c r="B87" s="3422"/>
      <c r="C87" s="1066" t="s">
        <v>1556</v>
      </c>
      <c r="D87" s="1066" t="s">
        <v>1557</v>
      </c>
      <c r="E87" s="1137">
        <v>0.2</v>
      </c>
      <c r="F87" s="1152">
        <v>30</v>
      </c>
    </row>
    <row r="88" spans="1:6" s="1103" customFormat="1" ht="36">
      <c r="A88" s="1152">
        <v>28</v>
      </c>
      <c r="B88" s="3422"/>
      <c r="C88" s="1066" t="s">
        <v>1558</v>
      </c>
      <c r="D88" s="1066" t="s">
        <v>1559</v>
      </c>
      <c r="E88" s="1137">
        <v>0.2</v>
      </c>
      <c r="F88" s="1152">
        <v>30</v>
      </c>
    </row>
    <row r="89" spans="1:6" s="1103" customFormat="1" ht="24">
      <c r="A89" s="1152">
        <v>29</v>
      </c>
      <c r="B89" s="3422"/>
      <c r="C89" s="1066" t="s">
        <v>1560</v>
      </c>
      <c r="D89" s="1066" t="s">
        <v>1561</v>
      </c>
      <c r="E89" s="1137">
        <v>0.2</v>
      </c>
      <c r="F89" s="1152">
        <v>30</v>
      </c>
    </row>
    <row r="90" spans="1:6" s="1103" customFormat="1" ht="24">
      <c r="A90" s="1152">
        <v>30</v>
      </c>
      <c r="B90" s="3422"/>
      <c r="C90" s="1066" t="s">
        <v>1562</v>
      </c>
      <c r="D90" s="1066" t="s">
        <v>1563</v>
      </c>
      <c r="E90" s="1137">
        <v>0.2</v>
      </c>
      <c r="F90" s="1152">
        <v>30</v>
      </c>
    </row>
    <row r="91" spans="1:6" s="1103" customFormat="1" ht="36">
      <c r="A91" s="1152">
        <v>31</v>
      </c>
      <c r="B91" s="3422"/>
      <c r="C91" s="1066" t="s">
        <v>1564</v>
      </c>
      <c r="D91" s="1066" t="s">
        <v>1565</v>
      </c>
      <c r="E91" s="1137">
        <v>0.2</v>
      </c>
      <c r="F91" s="1152">
        <v>30</v>
      </c>
    </row>
    <row r="92" spans="1:6" s="1103" customFormat="1" ht="24">
      <c r="A92" s="1152">
        <v>32</v>
      </c>
      <c r="B92" s="3422" t="s">
        <v>1566</v>
      </c>
      <c r="C92" s="1152" t="s">
        <v>1567</v>
      </c>
      <c r="D92" s="1066" t="s">
        <v>1568</v>
      </c>
      <c r="E92" s="1137">
        <v>0.2</v>
      </c>
      <c r="F92" s="1152">
        <v>30</v>
      </c>
    </row>
    <row r="93" spans="1:6" s="1103" customFormat="1" ht="36">
      <c r="A93" s="1152">
        <v>33</v>
      </c>
      <c r="B93" s="3422"/>
      <c r="C93" s="1152" t="s">
        <v>1569</v>
      </c>
      <c r="D93" s="1066" t="s">
        <v>1570</v>
      </c>
      <c r="E93" s="1137">
        <v>0.2</v>
      </c>
      <c r="F93" s="1152">
        <v>30</v>
      </c>
    </row>
    <row r="94" spans="1:6" s="1103" customFormat="1" ht="48">
      <c r="A94" s="1152">
        <v>34</v>
      </c>
      <c r="B94" s="3422"/>
      <c r="C94" s="1152" t="s">
        <v>1571</v>
      </c>
      <c r="D94" s="1066" t="s">
        <v>1572</v>
      </c>
      <c r="E94" s="1137">
        <v>0.2</v>
      </c>
      <c r="F94" s="1152">
        <v>30</v>
      </c>
    </row>
    <row r="95" spans="1:6" s="1103" customFormat="1" ht="36">
      <c r="A95" s="1152">
        <v>35</v>
      </c>
      <c r="B95" s="3422"/>
      <c r="C95" s="1152" t="s">
        <v>1573</v>
      </c>
      <c r="D95" s="1066" t="s">
        <v>1574</v>
      </c>
      <c r="E95" s="1137">
        <v>0.2</v>
      </c>
      <c r="F95" s="1152">
        <v>30</v>
      </c>
    </row>
    <row r="96" spans="1:6" s="1103" customFormat="1" ht="48">
      <c r="A96" s="1152">
        <v>36</v>
      </c>
      <c r="B96" s="3422"/>
      <c r="C96" s="1066" t="s">
        <v>1575</v>
      </c>
      <c r="D96" s="1066" t="s">
        <v>1576</v>
      </c>
      <c r="E96" s="1137">
        <v>0.2</v>
      </c>
      <c r="F96" s="1152">
        <v>30</v>
      </c>
    </row>
    <row r="97" spans="1:6" s="1103" customFormat="1" ht="36">
      <c r="A97" s="1152">
        <v>37</v>
      </c>
      <c r="B97" s="3422"/>
      <c r="C97" s="1152" t="s">
        <v>1577</v>
      </c>
      <c r="D97" s="1066" t="s">
        <v>1578</v>
      </c>
      <c r="E97" s="1137">
        <v>0.2</v>
      </c>
      <c r="F97" s="1152">
        <v>30</v>
      </c>
    </row>
    <row r="98" spans="1:6" s="1103" customFormat="1" ht="36">
      <c r="A98" s="1152">
        <v>38</v>
      </c>
      <c r="B98" s="3422"/>
      <c r="C98" s="1152" t="s">
        <v>1579</v>
      </c>
      <c r="D98" s="1066" t="s">
        <v>1580</v>
      </c>
      <c r="E98" s="1137">
        <v>0.2</v>
      </c>
      <c r="F98" s="1152">
        <v>30</v>
      </c>
    </row>
    <row r="99" spans="1:6" s="1103" customFormat="1" ht="36">
      <c r="A99" s="1152">
        <v>39</v>
      </c>
      <c r="B99" s="3422" t="s">
        <v>1581</v>
      </c>
      <c r="C99" s="1152" t="s">
        <v>1582</v>
      </c>
      <c r="D99" s="1066" t="s">
        <v>1583</v>
      </c>
      <c r="E99" s="1137">
        <v>0.3</v>
      </c>
      <c r="F99" s="1152">
        <v>50</v>
      </c>
    </row>
    <row r="100" spans="1:6" s="1103" customFormat="1" ht="24">
      <c r="A100" s="1152">
        <v>40</v>
      </c>
      <c r="B100" s="3422"/>
      <c r="C100" s="1152" t="s">
        <v>1584</v>
      </c>
      <c r="D100" s="1066" t="s">
        <v>1585</v>
      </c>
      <c r="E100" s="1137">
        <v>0.2</v>
      </c>
      <c r="F100" s="1152">
        <v>30</v>
      </c>
    </row>
    <row r="101" spans="1:6" s="1103" customFormat="1" ht="36">
      <c r="A101" s="1152">
        <v>41</v>
      </c>
      <c r="B101" s="3422"/>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2" t="s">
        <v>1596</v>
      </c>
      <c r="C105" s="1152" t="s">
        <v>1597</v>
      </c>
      <c r="D105" s="1066" t="s">
        <v>1598</v>
      </c>
      <c r="E105" s="1137">
        <v>0.2</v>
      </c>
      <c r="F105" s="1152">
        <v>30</v>
      </c>
    </row>
    <row r="106" spans="1:6" s="1103" customFormat="1" ht="36">
      <c r="A106" s="1152">
        <v>46</v>
      </c>
      <c r="B106" s="3422"/>
      <c r="C106" s="1152" t="s">
        <v>1599</v>
      </c>
      <c r="D106" s="1066" t="s">
        <v>1600</v>
      </c>
      <c r="E106" s="1137">
        <v>0.2</v>
      </c>
      <c r="F106" s="1152">
        <v>30</v>
      </c>
    </row>
    <row r="107" spans="1:6" s="1103" customFormat="1" ht="36">
      <c r="A107" s="1152">
        <v>47</v>
      </c>
      <c r="B107" s="3422" t="s">
        <v>1601</v>
      </c>
      <c r="C107" s="1152" t="s">
        <v>1602</v>
      </c>
      <c r="D107" s="1066" t="s">
        <v>1603</v>
      </c>
      <c r="E107" s="1137">
        <v>0.3</v>
      </c>
      <c r="F107" s="1152">
        <v>50</v>
      </c>
    </row>
    <row r="108" spans="1:6" s="1103" customFormat="1" ht="36">
      <c r="A108" s="1152">
        <v>48</v>
      </c>
      <c r="B108" s="3422"/>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2" t="s">
        <v>1612</v>
      </c>
      <c r="C111" s="1152" t="s">
        <v>1613</v>
      </c>
      <c r="D111" s="1066" t="s">
        <v>1614</v>
      </c>
      <c r="E111" s="1137">
        <v>0.2</v>
      </c>
      <c r="F111" s="1152">
        <v>30</v>
      </c>
    </row>
    <row r="112" spans="1:6" s="1103" customFormat="1" ht="24">
      <c r="A112" s="1152">
        <v>52</v>
      </c>
      <c r="B112" s="3422"/>
      <c r="C112" s="1152" t="s">
        <v>1615</v>
      </c>
      <c r="D112" s="1066" t="s">
        <v>1616</v>
      </c>
      <c r="E112" s="1137">
        <v>0.2</v>
      </c>
      <c r="F112" s="1152">
        <v>30</v>
      </c>
    </row>
    <row r="113" spans="1:14" s="1103" customFormat="1" ht="24">
      <c r="A113" s="1152">
        <v>53</v>
      </c>
      <c r="B113" s="3422"/>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2" t="s">
        <v>1625</v>
      </c>
      <c r="C116" s="1152" t="s">
        <v>1626</v>
      </c>
      <c r="D116" s="1066" t="s">
        <v>1627</v>
      </c>
      <c r="E116" s="1137">
        <v>0.2</v>
      </c>
      <c r="F116" s="1152">
        <v>30</v>
      </c>
    </row>
    <row r="117" spans="1:14" ht="36">
      <c r="A117" s="1152">
        <v>57</v>
      </c>
      <c r="B117" s="3422"/>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1" t="s">
        <v>1634</v>
      </c>
      <c r="B121" s="3421"/>
      <c r="C121" s="3421"/>
      <c r="D121" s="3421"/>
      <c r="E121" s="3421"/>
      <c r="F121" s="3421"/>
      <c r="G121" s="3421"/>
      <c r="H121" s="3421"/>
      <c r="I121" s="3421"/>
      <c r="J121" s="342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26" t="s">
        <v>1040</v>
      </c>
      <c r="B1" s="3426"/>
      <c r="C1" s="3426"/>
      <c r="D1" s="3426"/>
      <c r="E1" s="3426"/>
      <c r="F1" s="342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27" t="s">
        <v>1053</v>
      </c>
      <c r="B2" s="3427"/>
      <c r="C2" s="3427"/>
      <c r="D2" s="3427"/>
      <c r="E2" s="3427"/>
      <c r="F2" s="342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2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2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2420</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2421</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0" t="s">
        <v>2079</v>
      </c>
      <c r="B1" s="3430"/>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2937</v>
      </c>
      <c r="B1" s="3102"/>
      <c r="C1" s="3102"/>
      <c r="D1" s="3102"/>
      <c r="E1" s="3102"/>
      <c r="F1" s="3102"/>
    </row>
    <row r="2" spans="1:6" ht="14.25">
      <c r="A2" s="3103" t="s">
        <v>2932</v>
      </c>
      <c r="B2" s="3104" t="e">
        <f ca="1">SUMIF(B7:B14,"&lt;&gt;#ref!",B7:B14)</f>
        <v>#DIV/0!</v>
      </c>
      <c r="C2" s="3103" t="s">
        <v>2933</v>
      </c>
      <c r="D2" s="3102"/>
      <c r="E2" s="3102"/>
      <c r="F2" s="3102"/>
    </row>
    <row r="3" spans="1:6" ht="14.25">
      <c r="A3" s="3103" t="s">
        <v>2966</v>
      </c>
      <c r="B3" s="3104" t="e">
        <f ca="1">ROUND(B2*10000/E3,0)</f>
        <v>#DIV/0!</v>
      </c>
      <c r="C3" s="3103" t="s">
        <v>2078</v>
      </c>
      <c r="D3" s="3103" t="s">
        <v>2934</v>
      </c>
      <c r="E3" s="3104">
        <f ca="1">SUMIF(E7:E14,"&lt;&gt;#ref!",E7:E14)</f>
        <v>0</v>
      </c>
      <c r="F3" s="3102"/>
    </row>
    <row r="4" spans="1:6" ht="14.25">
      <c r="A4" s="3103" t="s">
        <v>2941</v>
      </c>
      <c r="B4" s="3104" t="e">
        <f ca="1">ROUND(B2*10000/E4,0)</f>
        <v>#DIV/0!</v>
      </c>
      <c r="C4" s="3103" t="s">
        <v>2078</v>
      </c>
      <c r="D4" s="3103" t="s">
        <v>2942</v>
      </c>
      <c r="E4" s="3104">
        <f ca="1">SUMIF(F7:F14,"&lt;&gt;#ref!",F7:F14)</f>
        <v>0</v>
      </c>
      <c r="F4" s="3102"/>
    </row>
    <row r="5" spans="1:6" ht="14.25">
      <c r="A5" s="3105"/>
      <c r="B5" s="1881"/>
      <c r="C5" s="1881"/>
      <c r="D5" s="1881"/>
      <c r="E5" s="1881"/>
      <c r="F5" s="3102"/>
    </row>
    <row r="6" spans="1:6" ht="28.5">
      <c r="A6" s="3106" t="s">
        <v>2938</v>
      </c>
      <c r="B6" s="3103" t="s">
        <v>2935</v>
      </c>
      <c r="C6" s="3104"/>
      <c r="D6" s="1881"/>
      <c r="E6" s="3103" t="s">
        <v>2936</v>
      </c>
      <c r="F6" s="3103" t="s">
        <v>2940</v>
      </c>
    </row>
    <row r="7" spans="1:6" ht="14.25">
      <c r="A7" s="258" t="s">
        <v>2939</v>
      </c>
      <c r="B7" s="3107" t="e">
        <f ca="1">SUMIF(INDIRECT("'"&amp;A7&amp;"'"&amp;"!A:A"),"总价",INDIRECT("'"&amp;A7&amp;"'"&amp;"!B:B"))</f>
        <v>#DIV/0!</v>
      </c>
      <c r="C7" s="3103" t="s">
        <v>2933</v>
      </c>
      <c r="D7" s="1881"/>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2933</v>
      </c>
      <c r="D8" s="1881"/>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2933</v>
      </c>
      <c r="D9" s="1881"/>
      <c r="E9" s="3108" t="e">
        <f t="shared" ca="1" si="1"/>
        <v>#REF!</v>
      </c>
      <c r="F9" s="3108" t="e">
        <f t="shared" ca="1" si="2"/>
        <v>#REF!</v>
      </c>
    </row>
    <row r="10" spans="1:6" ht="14.25">
      <c r="A10" s="258"/>
      <c r="B10" s="3107" t="e">
        <f t="shared" ca="1" si="0"/>
        <v>#REF!</v>
      </c>
      <c r="C10" s="3103" t="s">
        <v>2933</v>
      </c>
      <c r="D10" s="1881"/>
      <c r="E10" s="3108" t="e">
        <f t="shared" ca="1" si="1"/>
        <v>#REF!</v>
      </c>
      <c r="F10" s="3108" t="e">
        <f t="shared" ca="1" si="2"/>
        <v>#REF!</v>
      </c>
    </row>
    <row r="11" spans="1:6" ht="14.25">
      <c r="A11" s="258"/>
      <c r="B11" s="3107" t="e">
        <f t="shared" ca="1" si="0"/>
        <v>#REF!</v>
      </c>
      <c r="C11" s="3103" t="s">
        <v>2933</v>
      </c>
      <c r="D11" s="1881"/>
      <c r="E11" s="3108" t="e">
        <f t="shared" ca="1" si="1"/>
        <v>#REF!</v>
      </c>
      <c r="F11" s="3108" t="e">
        <f t="shared" ca="1" si="2"/>
        <v>#REF!</v>
      </c>
    </row>
    <row r="12" spans="1:6" ht="14.25">
      <c r="A12" s="258"/>
      <c r="B12" s="3107" t="e">
        <f t="shared" ca="1" si="0"/>
        <v>#REF!</v>
      </c>
      <c r="C12" s="3103" t="s">
        <v>2933</v>
      </c>
      <c r="D12" s="1881"/>
      <c r="E12" s="3108" t="e">
        <f t="shared" ca="1" si="1"/>
        <v>#REF!</v>
      </c>
      <c r="F12" s="3108" t="e">
        <f t="shared" ca="1" si="2"/>
        <v>#REF!</v>
      </c>
    </row>
    <row r="13" spans="1:6" ht="14.25">
      <c r="A13" s="258"/>
      <c r="B13" s="3107" t="e">
        <f t="shared" ca="1" si="0"/>
        <v>#REF!</v>
      </c>
      <c r="C13" s="3103" t="s">
        <v>2933</v>
      </c>
      <c r="D13" s="1881"/>
      <c r="E13" s="3108" t="e">
        <f t="shared" ca="1" si="1"/>
        <v>#REF!</v>
      </c>
      <c r="F13" s="3108" t="e">
        <f t="shared" ca="1" si="2"/>
        <v>#REF!</v>
      </c>
    </row>
    <row r="14" spans="1:6" ht="14.25">
      <c r="A14" s="3101"/>
      <c r="B14" s="3107" t="e">
        <f t="shared" ca="1" si="0"/>
        <v>#REF!</v>
      </c>
      <c r="C14" s="3103" t="s">
        <v>2933</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387" t="s">
        <v>2372</v>
      </c>
      <c r="F1" s="2388">
        <f ca="1">J54</f>
        <v>-2</v>
      </c>
      <c r="G1" s="772">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2456</v>
      </c>
      <c r="C7" s="53">
        <f ca="1">C8+C12+C14</f>
        <v>0</v>
      </c>
      <c r="D7" s="2496" t="s">
        <v>2459</v>
      </c>
      <c r="E7" s="2490"/>
      <c r="F7" s="2491"/>
      <c r="G7" s="1591"/>
      <c r="H7" s="779">
        <v>1</v>
      </c>
      <c r="I7" s="780" t="s">
        <v>2456</v>
      </c>
      <c r="J7" s="53">
        <f ca="1">J8+J12+J14</f>
        <v>0</v>
      </c>
      <c r="K7" s="2496" t="s">
        <v>2459</v>
      </c>
      <c r="L7" s="2490"/>
      <c r="M7" s="2491"/>
    </row>
    <row r="8" spans="1:25" ht="18" customHeight="1">
      <c r="A8" s="1830" t="s">
        <v>1825</v>
      </c>
      <c r="B8" s="3432" t="s">
        <v>2461</v>
      </c>
      <c r="C8" s="1825">
        <f ca="1">ROUND(F8*F10*F9*(1-F11)/10000,0)</f>
        <v>0</v>
      </c>
      <c r="D8" s="1822" t="s">
        <v>2532</v>
      </c>
      <c r="E8" s="61" t="s">
        <v>637</v>
      </c>
      <c r="F8" s="783">
        <f ca="1">INDIRECT("'数据-取费表'!u"&amp;$G$1)</f>
        <v>0</v>
      </c>
      <c r="G8" s="1591"/>
      <c r="H8" s="2504" t="s">
        <v>1825</v>
      </c>
      <c r="I8" s="3432" t="s">
        <v>2461</v>
      </c>
      <c r="J8" s="781">
        <f ca="1">ROUND(M8*M10*M9*(1-M11)/10000,0)</f>
        <v>0</v>
      </c>
      <c r="K8" s="339" t="s">
        <v>2532</v>
      </c>
      <c r="L8" s="782" t="s">
        <v>1739</v>
      </c>
      <c r="M8" s="783">
        <f ca="1">INDIRECT("'数据-取费表'!z"&amp;$G$1)</f>
        <v>0</v>
      </c>
    </row>
    <row r="9" spans="1:25" ht="18" customHeight="1">
      <c r="A9" s="2500"/>
      <c r="B9" s="3433"/>
      <c r="C9" s="1826"/>
      <c r="D9" s="1823"/>
      <c r="E9" s="61" t="s">
        <v>638</v>
      </c>
      <c r="F9" s="783">
        <f ca="1">IF(INDIRECT("'数据-取费表'!ah"&amp;$G$1)="",INDIRECT("'数据-取费表'!k"&amp;$G$1),INDIRECT("'数据-取费表'!ah"&amp;$G$1))</f>
        <v>0</v>
      </c>
      <c r="G9" s="1591"/>
      <c r="H9" s="2489"/>
      <c r="I9" s="3433"/>
      <c r="J9" s="786"/>
      <c r="K9" s="787"/>
      <c r="L9" s="782" t="s">
        <v>1740</v>
      </c>
      <c r="M9" s="783">
        <f ca="1">F9</f>
        <v>0</v>
      </c>
    </row>
    <row r="10" spans="1:25" ht="18" customHeight="1">
      <c r="A10" s="2493"/>
      <c r="B10" s="3434"/>
      <c r="C10" s="1826"/>
      <c r="D10" s="1823"/>
      <c r="E10" s="61" t="s">
        <v>639</v>
      </c>
      <c r="F10" s="783">
        <f ca="1">INDIRECT("'数据-取费表'!ai"&amp;$G$1)</f>
        <v>0</v>
      </c>
      <c r="G10" s="1591"/>
      <c r="H10" s="2489"/>
      <c r="I10" s="3434"/>
      <c r="J10" s="786"/>
      <c r="K10" s="787"/>
      <c r="L10" s="782" t="s">
        <v>1741</v>
      </c>
      <c r="M10" s="783">
        <f ca="1">INDIRECT("'数据-取费表'!ai"&amp;$G$1)</f>
        <v>0</v>
      </c>
    </row>
    <row r="11" spans="1:25" ht="18" customHeight="1">
      <c r="A11" s="784"/>
      <c r="B11" s="3435"/>
      <c r="C11" s="1826"/>
      <c r="D11" s="1823"/>
      <c r="E11" s="61" t="s">
        <v>640</v>
      </c>
      <c r="F11" s="792">
        <f ca="1">INDIRECT("'数据-取费表'!w"&amp;$G$1)</f>
        <v>0</v>
      </c>
      <c r="G11" s="1591"/>
      <c r="H11" s="2505"/>
      <c r="I11" s="3434"/>
      <c r="J11" s="786"/>
      <c r="K11" s="787"/>
      <c r="L11" s="793" t="s">
        <v>1742</v>
      </c>
      <c r="M11" s="794">
        <f ca="1">INDIRECT("'数据-取费表'!ab"&amp;$G$1)</f>
        <v>0</v>
      </c>
    </row>
    <row r="12" spans="1:25" ht="18" customHeight="1">
      <c r="A12" s="1830" t="s">
        <v>1826</v>
      </c>
      <c r="B12" s="2494" t="s">
        <v>2457</v>
      </c>
      <c r="C12" s="797">
        <f ca="1">ROUND(IF(F12="押一",C8/12*F13,IF(F12="押二",C8/12*2*F13,IF(F12="押三",C8/12*3*F13,C13*F13))),0)</f>
        <v>0</v>
      </c>
      <c r="D12" s="2501" t="s">
        <v>2962</v>
      </c>
      <c r="E12" s="2498" t="s">
        <v>2462</v>
      </c>
      <c r="F12" s="2621"/>
      <c r="G12" s="1591"/>
      <c r="H12" s="2561" t="s">
        <v>1826</v>
      </c>
      <c r="I12" s="2566" t="s">
        <v>2457</v>
      </c>
      <c r="J12" s="781">
        <f ca="1">ROUND(IF(M12="押一",J8/12*M13,IF(M12="押二",J8/12*2*M13,IF(M12="押三",J8/12*3*M13,J13*M13))),0)</f>
        <v>0</v>
      </c>
      <c r="K12" s="2501" t="s">
        <v>2962</v>
      </c>
      <c r="L12" s="2498" t="s">
        <v>2462</v>
      </c>
      <c r="M12" s="2621"/>
    </row>
    <row r="13" spans="1:25" ht="18" customHeight="1">
      <c r="A13" s="788"/>
      <c r="B13" s="2495" t="s">
        <v>2571</v>
      </c>
      <c r="C13" s="2499"/>
      <c r="D13" s="787"/>
      <c r="E13" s="2498" t="s">
        <v>2454</v>
      </c>
      <c r="F13" s="794">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2069</v>
      </c>
      <c r="I16" s="2231" t="s">
        <v>2822</v>
      </c>
      <c r="J16" s="53">
        <f ca="1">C31</f>
        <v>0</v>
      </c>
      <c r="K16" s="26"/>
      <c r="L16" s="799"/>
      <c r="M16" s="800"/>
    </row>
    <row r="17" spans="1:25" s="2064" customFormat="1" ht="18" customHeight="1">
      <c r="A17" s="801" t="s">
        <v>1850</v>
      </c>
      <c r="B17" s="782" t="s">
        <v>647</v>
      </c>
      <c r="C17" s="53">
        <f ca="1">ROUND(C16*F17,0)</f>
        <v>0</v>
      </c>
      <c r="D17" s="804" t="s">
        <v>648</v>
      </c>
      <c r="E17" s="804" t="s">
        <v>649</v>
      </c>
      <c r="F17" s="805">
        <f>'数据-取费表'!B33</f>
        <v>0.03</v>
      </c>
      <c r="G17" s="1592"/>
      <c r="H17" s="801" t="s">
        <v>2070</v>
      </c>
      <c r="I17" s="782" t="s">
        <v>643</v>
      </c>
      <c r="J17" s="806">
        <f ca="1">INDIRECT("'数据-取费表'!ad"&amp;$G$1)</f>
        <v>0</v>
      </c>
      <c r="K17" s="26"/>
      <c r="L17" s="799"/>
      <c r="M17" s="800"/>
      <c r="N17" s="2063"/>
      <c r="O17" s="2063"/>
      <c r="P17" s="2063"/>
      <c r="Q17" s="2063"/>
      <c r="R17" s="2063"/>
      <c r="S17" s="2063"/>
      <c r="T17" s="2063"/>
      <c r="U17" s="2063"/>
      <c r="V17" s="2063"/>
      <c r="W17" s="2063"/>
      <c r="X17" s="2063"/>
      <c r="Y17" s="2063"/>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2"/>
      <c r="M18" s="56"/>
    </row>
    <row r="19" spans="1:25" s="2064"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2069</v>
      </c>
      <c r="I19" s="782" t="s">
        <v>656</v>
      </c>
      <c r="J19" s="53">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3">
        <f ca="1">SUM(C16:C20)</f>
        <v>0</v>
      </c>
      <c r="D21" s="259" t="s">
        <v>663</v>
      </c>
      <c r="E21" s="1982"/>
      <c r="F21" s="56"/>
      <c r="G21" s="1591"/>
      <c r="H21" s="1830" t="s">
        <v>1850</v>
      </c>
      <c r="I21" s="782" t="s">
        <v>664</v>
      </c>
      <c r="J21" s="53">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3">
        <f ca="1">ROUND(C21*F22,0)</f>
        <v>0</v>
      </c>
      <c r="D22" s="810" t="s">
        <v>667</v>
      </c>
      <c r="E22" s="782" t="s">
        <v>649</v>
      </c>
      <c r="F22" s="807">
        <f>'数据-取费表'!B37</f>
        <v>1.4999999999999999E-2</v>
      </c>
      <c r="G22" s="1592"/>
      <c r="H22" s="1832" t="s">
        <v>1851</v>
      </c>
      <c r="I22" s="1822" t="s">
        <v>668</v>
      </c>
      <c r="J22" s="54">
        <f ca="1">ROUND(M22*M23/10000,0)</f>
        <v>0</v>
      </c>
      <c r="K22" s="812" t="s">
        <v>669</v>
      </c>
      <c r="L22" s="782" t="s">
        <v>670</v>
      </c>
      <c r="M22" s="638">
        <f>'数据-取费表'!B52</f>
        <v>3</v>
      </c>
      <c r="N22" s="2063"/>
      <c r="O22" s="2063"/>
      <c r="P22" s="2063"/>
      <c r="Q22" s="2063"/>
      <c r="R22" s="2063"/>
      <c r="S22" s="2063"/>
      <c r="T22" s="2063"/>
      <c r="U22" s="2063"/>
      <c r="V22" s="2063"/>
      <c r="W22" s="2063"/>
      <c r="X22" s="2063"/>
      <c r="Y22" s="2063"/>
    </row>
    <row r="23" spans="1:25" s="2064" customFormat="1" ht="18" customHeight="1">
      <c r="A23" s="801" t="s">
        <v>1879</v>
      </c>
      <c r="B23" s="782" t="s">
        <v>671</v>
      </c>
      <c r="C23" s="53" t="s">
        <v>1</v>
      </c>
      <c r="D23" s="810" t="s">
        <v>672</v>
      </c>
      <c r="E23" s="782" t="s">
        <v>673</v>
      </c>
      <c r="F23" s="807">
        <f>'数据-取费表'!B38</f>
        <v>0.02</v>
      </c>
      <c r="G23" s="1592"/>
      <c r="H23" s="1833"/>
      <c r="I23" s="1824"/>
      <c r="J23" s="69"/>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3"/>
      <c r="D24" s="2572" t="str">
        <f>IF(F25&lt;=1,"单利计息。","复利计息。")&amp;"建造成本、管理费用、销售费用产生的利息。"</f>
        <v>复利计息。建造成本、管理费用、销售费用产生的利息。</v>
      </c>
      <c r="E24" s="1982"/>
      <c r="F24" s="56"/>
      <c r="G24" s="1591"/>
      <c r="H24" s="1831" t="s">
        <v>2070</v>
      </c>
      <c r="I24" s="782" t="s">
        <v>676</v>
      </c>
      <c r="J24" s="53">
        <f ca="1">ROUND(J16*M24,0)</f>
        <v>0</v>
      </c>
      <c r="K24" s="1977" t="s">
        <v>677</v>
      </c>
      <c r="L24" s="782" t="s">
        <v>649</v>
      </c>
      <c r="M24" s="815">
        <f ca="1">INDIRECT("'数据-取费表'!Ak"&amp;$G$1)</f>
        <v>0</v>
      </c>
    </row>
    <row r="25" spans="1:25" s="2064" customFormat="1" ht="18" customHeight="1">
      <c r="A25" s="801" t="s">
        <v>1876</v>
      </c>
      <c r="B25" s="782" t="s">
        <v>2435</v>
      </c>
      <c r="C25" s="53">
        <f ca="1">ROUND(IF('数据-取费表'!B22&lt;=1,(C21+C22)*F26*F25/2,(C21+C22)*(POWER((1+F26),F25/2)-1)),0)</f>
        <v>0</v>
      </c>
      <c r="D25" s="2571" t="str">
        <f>IF(F25&lt;=1,"(建造成本+管理费用)×利率×(建设周期÷2)","(建造成本+管理费用)×((1+利率)^(建设周期÷2)-1)")</f>
        <v>(建造成本+管理费用)×((1+利率)^(建设周期÷2)-1)</v>
      </c>
      <c r="E25" s="782" t="s">
        <v>678</v>
      </c>
      <c r="F25" s="638">
        <f>'数据-取费表'!B20</f>
        <v>2</v>
      </c>
      <c r="G25" s="1592"/>
      <c r="H25" s="801" t="s">
        <v>1879</v>
      </c>
      <c r="I25" s="782" t="s">
        <v>679</v>
      </c>
      <c r="J25" s="53">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3">
        <f ca="1">ROUND(IF('数据-取费表'!B22&lt;=1,F23*F26*F25/2,F23*(POWER((1+F26),F25/2)-1)),4)</f>
        <v>1E-3</v>
      </c>
      <c r="D26" s="2571"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3"/>
      <c r="D27" s="259" t="s">
        <v>685</v>
      </c>
      <c r="E27" s="1982"/>
      <c r="F27" s="56"/>
      <c r="G27" s="1591"/>
      <c r="H27" s="795" t="s">
        <v>1829</v>
      </c>
      <c r="I27" s="3011" t="s">
        <v>2819</v>
      </c>
      <c r="J27" s="797">
        <f ca="1">J7-J18</f>
        <v>0</v>
      </c>
      <c r="K27" s="1979" t="s">
        <v>700</v>
      </c>
      <c r="L27" s="1981"/>
      <c r="M27" s="818"/>
    </row>
    <row r="28" spans="1:25" ht="18" customHeight="1">
      <c r="A28" s="801" t="s">
        <v>1876</v>
      </c>
      <c r="B28" s="782" t="s">
        <v>2436</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3">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2820</v>
      </c>
      <c r="C31" s="2544">
        <f ca="1">ROUND((C21+C22+C25+C28)/(1-F23-C26-C29-C30),0)</f>
        <v>0</v>
      </c>
      <c r="D31" s="2545"/>
      <c r="E31" s="2546"/>
      <c r="F31" s="2547"/>
      <c r="G31" s="1592"/>
      <c r="H31" s="821" t="s">
        <v>1873</v>
      </c>
      <c r="I31" s="3012" t="s">
        <v>2821</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487"/>
      <c r="F32" s="2491"/>
      <c r="G32" s="2062"/>
      <c r="H32" s="2065"/>
      <c r="I32" s="2066"/>
      <c r="J32" s="2067"/>
      <c r="K32" s="2068"/>
      <c r="L32" s="2069"/>
      <c r="M32" s="2070"/>
    </row>
    <row r="33" spans="1:18" ht="18" customHeight="1">
      <c r="A33" s="801" t="s">
        <v>1877</v>
      </c>
      <c r="B33" s="782" t="s">
        <v>656</v>
      </c>
      <c r="C33" s="53">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3">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4">
        <f ca="1">ROUND(F36*F37/10000,1)</f>
        <v>0</v>
      </c>
      <c r="D36" s="812" t="s">
        <v>669</v>
      </c>
      <c r="E36" s="782" t="s">
        <v>670</v>
      </c>
      <c r="F36" s="638">
        <f>'数据-取费表'!B52</f>
        <v>3</v>
      </c>
      <c r="G36" s="2062"/>
      <c r="H36" s="2065"/>
      <c r="I36" s="3431"/>
      <c r="J36" s="2079"/>
      <c r="K36" s="2080"/>
      <c r="L36" s="2079"/>
      <c r="M36" s="2079"/>
    </row>
    <row r="37" spans="1:18" ht="18" customHeight="1">
      <c r="A37" s="813"/>
      <c r="B37" s="791"/>
      <c r="C37" s="69"/>
      <c r="D37" s="814"/>
      <c r="E37" s="782" t="s">
        <v>674</v>
      </c>
      <c r="F37" s="783">
        <f ca="1">INDIRECT("'数据-取费表'!r"&amp;$G$1)</f>
        <v>0</v>
      </c>
      <c r="G37" s="2062"/>
      <c r="H37" s="2065"/>
      <c r="I37" s="3431"/>
      <c r="J37" s="2077"/>
      <c r="K37" s="2078"/>
      <c r="L37" s="2077"/>
      <c r="M37" s="2077"/>
    </row>
    <row r="38" spans="1:18" ht="18" customHeight="1">
      <c r="A38" s="801" t="s">
        <v>1878</v>
      </c>
      <c r="B38" s="782" t="s">
        <v>676</v>
      </c>
      <c r="C38" s="53">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3">
        <f ca="1">ROUND(C15*F39,1)</f>
        <v>0</v>
      </c>
      <c r="D39" s="1977" t="s">
        <v>680</v>
      </c>
      <c r="E39" s="782" t="s">
        <v>649</v>
      </c>
      <c r="F39" s="816">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19" t="s">
        <v>2950</v>
      </c>
      <c r="F43" s="3120">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35">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21" t="s">
        <v>2953</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7" t="str">
        <f ca="1">IF(M48="住宅",0,IF(L49&gt;J52,L61,J61))</f>
        <v>0</v>
      </c>
      <c r="O47" s="2394" t="s">
        <v>2408</v>
      </c>
      <c r="P47" s="1591"/>
      <c r="Q47" s="1603"/>
      <c r="R47" s="1591"/>
    </row>
    <row r="48" spans="1:18" s="2059" customFormat="1" ht="18" customHeight="1" thickBot="1">
      <c r="A48" s="2084"/>
      <c r="C48" s="2087"/>
      <c r="D48" s="2088"/>
      <c r="E48" s="2088"/>
      <c r="F48" s="2089"/>
      <c r="G48" s="2090"/>
      <c r="I48" s="3147" t="s">
        <v>2342</v>
      </c>
      <c r="J48" s="2381"/>
      <c r="K48" s="3154" t="s">
        <v>2347</v>
      </c>
      <c r="L48" s="3158">
        <f ca="1">INDIRECT("'数据-取费表'!d"&amp;$G$1)</f>
        <v>0</v>
      </c>
      <c r="M48" s="3118"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3" t="s">
        <v>2343</v>
      </c>
      <c r="J49" s="2382"/>
      <c r="K49" s="3155"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3" t="s">
        <v>2344</v>
      </c>
      <c r="J50" s="2383"/>
      <c r="K50" s="3156"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3" t="s">
        <v>2345</v>
      </c>
      <c r="J51" s="3151">
        <f>SUMPRODUCT((I64:I66=J48)*(J63:L63=J49)*(J64:L66))</f>
        <v>0</v>
      </c>
      <c r="K51" s="3156" t="s">
        <v>2351</v>
      </c>
      <c r="L51" s="2384"/>
      <c r="O51" s="2401" t="s">
        <v>2381</v>
      </c>
      <c r="P51" s="2399" t="s">
        <v>2405</v>
      </c>
      <c r="Q51" s="2400">
        <f ca="1">C31</f>
        <v>0</v>
      </c>
      <c r="R51" s="2399" t="s">
        <v>2378</v>
      </c>
    </row>
    <row r="52" spans="1:18" s="2059" customFormat="1" ht="18" customHeight="1" thickBot="1">
      <c r="A52" s="2096"/>
      <c r="F52" s="2085"/>
      <c r="I52" s="3148" t="s">
        <v>2346</v>
      </c>
      <c r="J52" s="3152">
        <f>IF(J50="",J51,J50+J51-YEAR('数据-取费表'!B3))</f>
        <v>0</v>
      </c>
      <c r="K52" s="3123" t="s">
        <v>2352</v>
      </c>
      <c r="L52" s="3159">
        <f ca="1">ROUND(-PV(INDIRECT("'数据-取费表'!h"&amp;$G$1),L49,(C40-C14*J36),0),0)</f>
        <v>0</v>
      </c>
      <c r="O52" s="2401" t="s">
        <v>2382</v>
      </c>
      <c r="P52" s="2399" t="s">
        <v>2383</v>
      </c>
      <c r="Q52" s="2402" t="e">
        <f ca="1">J59</f>
        <v>#VALUE!</v>
      </c>
      <c r="R52" s="2403"/>
    </row>
    <row r="53" spans="1:18" s="2059" customFormat="1" ht="18" customHeight="1" thickBot="1">
      <c r="A53" s="2096"/>
      <c r="F53" s="2085"/>
      <c r="I53" s="3149" t="s">
        <v>2419</v>
      </c>
      <c r="J53" s="2385"/>
      <c r="K53" s="3149" t="s">
        <v>2418</v>
      </c>
      <c r="L53" s="2385"/>
      <c r="O53" s="2401" t="s">
        <v>2384</v>
      </c>
      <c r="P53" s="2399" t="s">
        <v>2385</v>
      </c>
      <c r="Q53" s="2402">
        <f>J53</f>
        <v>0</v>
      </c>
      <c r="R53" s="2403"/>
    </row>
    <row r="54" spans="1:18" s="2059" customFormat="1" ht="29.25" thickBot="1">
      <c r="A54" s="2096"/>
      <c r="I54" s="3150" t="s">
        <v>2967</v>
      </c>
      <c r="J54" s="3153">
        <f ca="1">IF(M48="住宅",MAX(J52,L49-'数据-取费表'!B20),MIN(J52,L49-'数据-取费表'!B20))</f>
        <v>-2</v>
      </c>
      <c r="K54" s="3436"/>
      <c r="L54" s="3437"/>
      <c r="O54" s="2401" t="s">
        <v>2386</v>
      </c>
      <c r="P54" s="2399" t="s">
        <v>2387</v>
      </c>
      <c r="Q54" s="2400">
        <f ca="1">J54</f>
        <v>-2</v>
      </c>
      <c r="R54" s="2399" t="s">
        <v>2388</v>
      </c>
    </row>
    <row r="55" spans="1:18" s="2059" customFormat="1" ht="18" customHeight="1" thickBot="1">
      <c r="A55" s="2096"/>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8" t="s">
        <v>2389</v>
      </c>
      <c r="P55" s="2399" t="s">
        <v>2406</v>
      </c>
      <c r="Q55" s="2400">
        <f ca="1">Q49+Q50</f>
        <v>0</v>
      </c>
      <c r="R55" s="2403" t="s">
        <v>2390</v>
      </c>
    </row>
    <row r="56" spans="1:18" s="2059" customFormat="1" ht="16.5" thickBot="1">
      <c r="A56" s="2096"/>
      <c r="B56" s="2097"/>
      <c r="C56" s="2097"/>
      <c r="I56" s="3162" t="s">
        <v>2353</v>
      </c>
      <c r="J56" s="3098" t="e">
        <f ca="1">ROUND(IF(J48="钢混",J58/J51,1-(1-2%)*(J51-J58)/J51),3)</f>
        <v>#VALUE!</v>
      </c>
      <c r="K56" s="3163" t="s">
        <v>2354</v>
      </c>
      <c r="L56" s="2386"/>
      <c r="O56" s="2404" t="s">
        <v>2409</v>
      </c>
      <c r="P56" s="1591"/>
      <c r="Q56" s="1603"/>
      <c r="R56" s="1591"/>
    </row>
    <row r="57" spans="1:18" s="2059" customFormat="1" ht="43.5" thickBot="1">
      <c r="A57" s="2096"/>
      <c r="B57" s="2097"/>
      <c r="C57" s="2097"/>
      <c r="I57" s="3164" t="s">
        <v>2355</v>
      </c>
      <c r="J57" s="3174" t="s">
        <v>1679</v>
      </c>
      <c r="K57" s="3123" t="s">
        <v>2360</v>
      </c>
      <c r="L57" s="1908">
        <f ca="1">IF(L49&lt;J52,"——",L49-J52)</f>
        <v>0</v>
      </c>
      <c r="O57" s="2395" t="s">
        <v>2373</v>
      </c>
      <c r="P57" s="2396" t="s">
        <v>2374</v>
      </c>
      <c r="Q57" s="2397" t="s">
        <v>2375</v>
      </c>
      <c r="R57" s="2396" t="s">
        <v>2376</v>
      </c>
    </row>
    <row r="58" spans="1:18" s="2059" customFormat="1" ht="29.25" thickBot="1">
      <c r="A58" s="2096"/>
      <c r="B58" s="2097"/>
      <c r="C58" s="2097"/>
      <c r="I58" s="3165" t="s">
        <v>2356</v>
      </c>
      <c r="J58" s="3166" t="str">
        <f ca="1">IF(OR(M48="住宅",J52&lt;L49,J57="是"),"——",J52-L49)</f>
        <v>——</v>
      </c>
      <c r="K58" s="3123"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5" t="s">
        <v>2357</v>
      </c>
      <c r="J59" s="3099" t="e">
        <f ca="1">IF(J56&lt;0.4,0.4,J56)</f>
        <v>#VALUE!</v>
      </c>
      <c r="K59" s="3123"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5" t="s">
        <v>2358</v>
      </c>
      <c r="J60" s="3166" t="str">
        <f ca="1">IF(OR(M48="住宅",J52&lt;L49,J57="是"),"——",ROUND(C30*J59,0))</f>
        <v>——</v>
      </c>
      <c r="K60" s="3123"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7" t="s">
        <v>2359</v>
      </c>
      <c r="J61" s="3168" t="str">
        <f ca="1">IF(OR(M48="住宅",J52&lt;L49,J57="是"),"0",ROUND(J60/(1+J53)^J54,0))</f>
        <v>0</v>
      </c>
      <c r="K61" s="3169" t="s">
        <v>2364</v>
      </c>
      <c r="L61" s="3168"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0" t="s">
        <v>2365</v>
      </c>
      <c r="J63" s="3171" t="s">
        <v>2366</v>
      </c>
      <c r="K63" s="3171" t="s">
        <v>2367</v>
      </c>
      <c r="L63" s="3171" t="s">
        <v>2348</v>
      </c>
      <c r="M63" s="3172" t="s">
        <v>2930</v>
      </c>
      <c r="O63" s="2401" t="s">
        <v>2386</v>
      </c>
      <c r="P63" s="2399" t="s">
        <v>2394</v>
      </c>
      <c r="Q63" s="2400">
        <f ca="1">L60</f>
        <v>0</v>
      </c>
      <c r="R63" s="2403" t="s">
        <v>2395</v>
      </c>
    </row>
    <row r="64" spans="1:18" s="2059" customFormat="1" ht="15.75" thickBot="1">
      <c r="A64" s="2096"/>
      <c r="B64" s="2097"/>
      <c r="C64" s="2097"/>
      <c r="I64" s="3170" t="s">
        <v>2368</v>
      </c>
      <c r="J64" s="3171">
        <v>70</v>
      </c>
      <c r="K64" s="3171">
        <v>50</v>
      </c>
      <c r="L64" s="3171">
        <v>80</v>
      </c>
      <c r="M64" s="3173">
        <v>0.02</v>
      </c>
      <c r="O64" s="2398" t="s">
        <v>2389</v>
      </c>
      <c r="P64" s="2399" t="s">
        <v>2406</v>
      </c>
      <c r="Q64" s="2400" t="e">
        <f ca="1">Q58+Q59</f>
        <v>#DIV/0!</v>
      </c>
      <c r="R64" s="2403" t="s">
        <v>2390</v>
      </c>
    </row>
    <row r="65" spans="1:18" s="2059" customFormat="1" ht="16.5" thickBot="1">
      <c r="A65" s="2096"/>
      <c r="B65" s="2097"/>
      <c r="C65" s="2097"/>
      <c r="I65" s="3170" t="s">
        <v>2369</v>
      </c>
      <c r="J65" s="3171">
        <v>50</v>
      </c>
      <c r="K65" s="3171">
        <v>35</v>
      </c>
      <c r="L65" s="3171">
        <v>60</v>
      </c>
      <c r="M65" s="844">
        <v>0</v>
      </c>
      <c r="O65" s="2404" t="s">
        <v>2413</v>
      </c>
      <c r="P65" s="1591"/>
      <c r="Q65" s="1603"/>
      <c r="R65" s="1591"/>
    </row>
    <row r="66" spans="1:18" s="2059" customFormat="1" ht="15.75" thickBot="1">
      <c r="A66" s="2096"/>
      <c r="B66" s="2097"/>
      <c r="C66" s="2097"/>
      <c r="I66" s="3170" t="s">
        <v>2370</v>
      </c>
      <c r="J66" s="3171">
        <v>40</v>
      </c>
      <c r="K66" s="3171">
        <v>30</v>
      </c>
      <c r="L66" s="3171">
        <v>50</v>
      </c>
      <c r="M66" s="3173">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4" t="s">
        <v>2574</v>
      </c>
      <c r="C1" s="3444"/>
      <c r="D1" s="3444"/>
      <c r="E1" s="3444"/>
      <c r="F1" s="3444"/>
      <c r="G1" s="3443" t="s">
        <v>2575</v>
      </c>
      <c r="H1" s="3443"/>
      <c r="I1" s="3443"/>
      <c r="J1" s="3443"/>
      <c r="K1" s="3443"/>
      <c r="L1" s="3443"/>
      <c r="N1" s="3443" t="s">
        <v>2576</v>
      </c>
      <c r="O1" s="3443"/>
      <c r="P1" s="3443"/>
      <c r="Q1" s="3443"/>
      <c r="R1" s="2654"/>
      <c r="S1" s="3443" t="s">
        <v>2577</v>
      </c>
      <c r="T1" s="3443"/>
      <c r="U1" s="3443"/>
      <c r="V1" s="3443"/>
      <c r="X1" s="3442" t="s">
        <v>2637</v>
      </c>
      <c r="Y1" s="3443"/>
      <c r="Z1" s="3443"/>
      <c r="AA1" s="3443"/>
      <c r="AB1" s="3443"/>
      <c r="AD1" s="3442" t="s">
        <v>2641</v>
      </c>
      <c r="AE1" s="3443"/>
      <c r="AF1" s="3443"/>
      <c r="AG1" s="3443"/>
      <c r="AH1" s="3443"/>
    </row>
    <row r="2" spans="1:34" s="2756" customFormat="1" ht="14.25" thickBot="1">
      <c r="B2" s="2764" t="s">
        <v>2578</v>
      </c>
      <c r="C2" s="2764" t="s">
        <v>2639</v>
      </c>
      <c r="D2" s="2757" t="s">
        <v>1645</v>
      </c>
      <c r="E2" s="2757" t="s">
        <v>1952</v>
      </c>
      <c r="F2" s="2764" t="s">
        <v>2640</v>
      </c>
      <c r="G2" s="2760"/>
      <c r="H2" s="2759"/>
      <c r="I2" s="2764" t="s">
        <v>2944</v>
      </c>
      <c r="J2" s="2757" t="s">
        <v>2946</v>
      </c>
      <c r="K2" s="2757" t="s">
        <v>2947</v>
      </c>
      <c r="L2" s="2764" t="s">
        <v>2948</v>
      </c>
      <c r="N2" s="2764" t="s">
        <v>2578</v>
      </c>
      <c r="O2" s="2757" t="s">
        <v>2945</v>
      </c>
      <c r="P2" s="2757" t="s">
        <v>1952</v>
      </c>
      <c r="Q2" s="2764" t="s">
        <v>2640</v>
      </c>
      <c r="R2" s="2758"/>
      <c r="S2" s="2764" t="s">
        <v>2578</v>
      </c>
      <c r="T2" s="2757" t="s">
        <v>2945</v>
      </c>
      <c r="U2" s="2757" t="s">
        <v>1952</v>
      </c>
      <c r="V2" s="2764" t="s">
        <v>2640</v>
      </c>
      <c r="X2" s="2764" t="s">
        <v>2578</v>
      </c>
      <c r="Y2" s="2764" t="s">
        <v>2639</v>
      </c>
      <c r="Z2" s="2757" t="s">
        <v>1645</v>
      </c>
      <c r="AA2" s="2757" t="s">
        <v>1952</v>
      </c>
      <c r="AB2" s="2764" t="s">
        <v>2640</v>
      </c>
      <c r="AD2" s="2764" t="s">
        <v>2578</v>
      </c>
      <c r="AE2" s="2764" t="s">
        <v>2639</v>
      </c>
      <c r="AF2" s="2757" t="s">
        <v>1645</v>
      </c>
      <c r="AG2" s="2757" t="s">
        <v>1952</v>
      </c>
      <c r="AH2" s="2764" t="s">
        <v>2640</v>
      </c>
    </row>
    <row r="3" spans="1:34" s="3131" customFormat="1" ht="14.25">
      <c r="A3" s="3143" t="s">
        <v>2957</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2970</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2958</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2968</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2969</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2964</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2955</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2959</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41">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3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3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4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3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3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3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4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3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3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3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4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45">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46"/>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46"/>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47"/>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3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3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3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3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3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3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3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3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3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3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3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3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3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3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3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3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3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3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3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3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3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3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3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3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3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3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3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38">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39">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39">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0">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38">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39">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39">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0">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56.25">
      <c r="A7" s="1795" t="s">
        <v>2744</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2929</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18.75">
      <c r="A21" s="1791" t="s">
        <v>2074</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本次估价对象为出让国有建设用地使用权，证载土地终止日期为住宅2088年2月25日车库2068年2月25日、仓储2068年2月25日。截至估价期日，出让国有建设用地使用权剩余土地使用年限为。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3" t="s">
        <v>719</v>
      </c>
      <c r="C1" s="2624" t="s">
        <v>720</v>
      </c>
      <c r="D1" s="2625"/>
      <c r="E1" s="2626"/>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365" t="s">
        <v>522</v>
      </c>
      <c r="D4" s="3366"/>
      <c r="E4" s="3399" t="s">
        <v>523</v>
      </c>
      <c r="F4" s="3400"/>
      <c r="G4" s="3365" t="s">
        <v>524</v>
      </c>
      <c r="H4" s="3366"/>
      <c r="I4" s="3365" t="s">
        <v>525</v>
      </c>
      <c r="J4" s="3366"/>
      <c r="K4" s="851"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2" t="s">
        <v>524</v>
      </c>
      <c r="AC4" s="3362" t="s">
        <v>525</v>
      </c>
    </row>
    <row r="5" spans="1:29" ht="15">
      <c r="A5" s="513"/>
      <c r="B5" s="514"/>
      <c r="C5" s="3381" t="s">
        <v>2915</v>
      </c>
      <c r="D5" s="3382"/>
      <c r="E5" s="3401" t="s">
        <v>2916</v>
      </c>
      <c r="F5" s="3402"/>
      <c r="G5" s="3381" t="s">
        <v>2917</v>
      </c>
      <c r="H5" s="3382"/>
      <c r="I5" s="3381" t="s">
        <v>2918</v>
      </c>
      <c r="J5" s="3382"/>
      <c r="K5" s="852"/>
      <c r="L5" s="2133"/>
      <c r="M5" s="2134"/>
      <c r="N5" s="2134"/>
      <c r="O5" s="2134"/>
      <c r="P5" s="3369"/>
      <c r="Q5" s="3370"/>
      <c r="R5" s="3375"/>
      <c r="S5" s="3376"/>
      <c r="T5" s="3375"/>
      <c r="U5" s="3376"/>
      <c r="V5" s="3360"/>
      <c r="W5" s="3360"/>
      <c r="X5" s="1566"/>
      <c r="Y5" s="3375"/>
      <c r="Z5" s="3376"/>
      <c r="AA5" s="3363"/>
      <c r="AB5" s="3363"/>
      <c r="AC5" s="3363"/>
    </row>
    <row r="6" spans="1:29" ht="15.75" thickBot="1">
      <c r="A6" s="515"/>
      <c r="B6" s="516"/>
      <c r="C6" s="3379" t="s">
        <v>2919</v>
      </c>
      <c r="D6" s="3380"/>
      <c r="E6" s="3397" t="s">
        <v>2919</v>
      </c>
      <c r="F6" s="3398"/>
      <c r="G6" s="3379" t="s">
        <v>2919</v>
      </c>
      <c r="H6" s="3380"/>
      <c r="I6" s="3379" t="s">
        <v>2919</v>
      </c>
      <c r="J6" s="3380"/>
      <c r="K6" s="852" t="s">
        <v>528</v>
      </c>
      <c r="L6" s="2133"/>
      <c r="M6" s="2134"/>
      <c r="N6" s="2134"/>
      <c r="O6" s="2134"/>
      <c r="P6" s="3371"/>
      <c r="Q6" s="3372"/>
      <c r="R6" s="3375"/>
      <c r="S6" s="3376"/>
      <c r="T6" s="3377"/>
      <c r="U6" s="3378"/>
      <c r="V6" s="3360"/>
      <c r="W6" s="3360"/>
      <c r="X6" s="1566"/>
      <c r="Y6" s="3377"/>
      <c r="Z6" s="3378"/>
      <c r="AA6" s="3364"/>
      <c r="AB6" s="3364"/>
      <c r="AC6" s="3364"/>
    </row>
    <row r="7" spans="1:29" s="1218" customFormat="1" ht="15.75" thickBot="1">
      <c r="A7" s="2912"/>
      <c r="B7" s="2919" t="s">
        <v>529</v>
      </c>
      <c r="C7" s="517">
        <f>'数据-取费表'!B2</f>
        <v>43384</v>
      </c>
      <c r="D7" s="518">
        <v>100</v>
      </c>
      <c r="E7" s="519"/>
      <c r="F7" s="520">
        <f>SUMIF(58:58,YEAR(E7)&amp;"-"&amp;MONTH(E7),59:59)</f>
        <v>0</v>
      </c>
      <c r="G7" s="521"/>
      <c r="H7" s="518">
        <f>SUMIF(58:58,YEAR(G7)&amp;"-"&amp;MONTH(G7),59:59)</f>
        <v>0</v>
      </c>
      <c r="I7" s="521"/>
      <c r="J7" s="518">
        <f>SUMIF(58:58,YEAR(I7)&amp;"-"&amp;MONTH(I7),59:59)</f>
        <v>0</v>
      </c>
      <c r="K7" s="853"/>
      <c r="L7" s="2135"/>
      <c r="M7" s="2136"/>
      <c r="N7" s="2136"/>
      <c r="O7" s="2136"/>
      <c r="P7" s="3390" t="s">
        <v>530</v>
      </c>
      <c r="Q7" s="3392"/>
      <c r="R7" s="1567" t="s">
        <v>13</v>
      </c>
      <c r="S7" s="1568">
        <f t="shared" ref="S7:S15" si="0">F7</f>
        <v>0</v>
      </c>
      <c r="T7" s="1567" t="s">
        <v>13</v>
      </c>
      <c r="U7" s="1568">
        <f t="shared" ref="U7:U15" si="1">H7</f>
        <v>0</v>
      </c>
      <c r="V7" s="1567" t="s">
        <v>13</v>
      </c>
      <c r="W7" s="1568">
        <f t="shared" ref="W7:W15" si="2">J7</f>
        <v>0</v>
      </c>
      <c r="X7" s="1569"/>
      <c r="Y7" s="3390" t="s">
        <v>530</v>
      </c>
      <c r="Z7" s="3391"/>
      <c r="AA7" s="1570" t="e">
        <f>D7/F7</f>
        <v>#DIV/0!</v>
      </c>
      <c r="AB7" s="1570" t="e">
        <f>D7/H7</f>
        <v>#DIV/0!</v>
      </c>
      <c r="AC7" s="1570" t="e">
        <f>D7/J7</f>
        <v>#DIV/0!</v>
      </c>
    </row>
    <row r="8" spans="1:29" s="1218" customFormat="1" ht="15.75" thickBot="1">
      <c r="A8" s="2913"/>
      <c r="B8" s="2920"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390" t="s">
        <v>533</v>
      </c>
      <c r="Q8" s="3391"/>
      <c r="R8" s="1567" t="s">
        <v>13</v>
      </c>
      <c r="S8" s="1568">
        <f t="shared" si="0"/>
        <v>0</v>
      </c>
      <c r="T8" s="1567" t="s">
        <v>13</v>
      </c>
      <c r="U8" s="1568">
        <f t="shared" si="1"/>
        <v>0</v>
      </c>
      <c r="V8" s="1567" t="s">
        <v>13</v>
      </c>
      <c r="W8" s="1568">
        <f t="shared" si="2"/>
        <v>0</v>
      </c>
      <c r="X8" s="1569"/>
      <c r="Y8" s="3390" t="s">
        <v>533</v>
      </c>
      <c r="Z8" s="3391"/>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359" t="s">
        <v>535</v>
      </c>
      <c r="Q9" s="1149" t="str">
        <f t="shared" ref="Q9:Q15" si="6">B9</f>
        <v>用途</v>
      </c>
      <c r="R9" s="1567" t="s">
        <v>8</v>
      </c>
      <c r="S9" s="1568">
        <f t="shared" si="0"/>
        <v>100</v>
      </c>
      <c r="T9" s="1567" t="s">
        <v>8</v>
      </c>
      <c r="U9" s="1568">
        <f t="shared" si="1"/>
        <v>100</v>
      </c>
      <c r="V9" s="1567" t="s">
        <v>8</v>
      </c>
      <c r="W9" s="1568">
        <f t="shared" si="2"/>
        <v>100</v>
      </c>
      <c r="X9" s="1569"/>
      <c r="Y9" s="3305"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c r="A11" s="2916"/>
      <c r="B11" s="2920"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359"/>
      <c r="Q11" s="1149" t="str">
        <f t="shared" si="6"/>
        <v>容积率</v>
      </c>
      <c r="R11" s="1567" t="s">
        <v>11</v>
      </c>
      <c r="S11" s="1568" t="e">
        <f t="shared" si="0"/>
        <v>#N/A</v>
      </c>
      <c r="T11" s="1567" t="s">
        <v>11</v>
      </c>
      <c r="U11" s="1568" t="e">
        <f t="shared" si="1"/>
        <v>#N/A</v>
      </c>
      <c r="V11" s="1567" t="s">
        <v>11</v>
      </c>
      <c r="W11" s="1568" t="e">
        <f t="shared" si="2"/>
        <v>#N/A</v>
      </c>
      <c r="X11" s="1569"/>
      <c r="Y11" s="3305"/>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359"/>
      <c r="Q12" s="1149">
        <f t="shared" si="6"/>
        <v>111</v>
      </c>
      <c r="R12" s="1567" t="s">
        <v>11</v>
      </c>
      <c r="S12" s="1568">
        <f t="shared" si="0"/>
        <v>100</v>
      </c>
      <c r="T12" s="1567" t="s">
        <v>11</v>
      </c>
      <c r="U12" s="1568">
        <f t="shared" si="1"/>
        <v>100</v>
      </c>
      <c r="V12" s="1567" t="s">
        <v>11</v>
      </c>
      <c r="W12" s="1568">
        <f t="shared" si="2"/>
        <v>100</v>
      </c>
      <c r="X12" s="1569"/>
      <c r="Y12" s="3305"/>
      <c r="Z12" s="1148">
        <f t="shared" si="7"/>
        <v>111</v>
      </c>
      <c r="AA12" s="1570">
        <f>D12/F12</f>
        <v>1</v>
      </c>
      <c r="AB12" s="1570">
        <f>D12/H12</f>
        <v>1</v>
      </c>
      <c r="AC12" s="1570">
        <f>D12/J12</f>
        <v>1</v>
      </c>
    </row>
    <row r="13" spans="1:29" ht="15">
      <c r="A13" s="2917"/>
      <c r="B13" s="2923">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359"/>
      <c r="Q13" s="1149">
        <f t="shared" si="6"/>
        <v>111</v>
      </c>
      <c r="R13" s="1567" t="s">
        <v>11</v>
      </c>
      <c r="S13" s="1568">
        <f t="shared" si="0"/>
        <v>100</v>
      </c>
      <c r="T13" s="1567" t="s">
        <v>11</v>
      </c>
      <c r="U13" s="1568">
        <f t="shared" si="1"/>
        <v>100</v>
      </c>
      <c r="V13" s="1567" t="s">
        <v>11</v>
      </c>
      <c r="W13" s="1568">
        <f t="shared" si="2"/>
        <v>100</v>
      </c>
      <c r="X13" s="1569"/>
      <c r="Y13" s="3305"/>
      <c r="Z13" s="1148">
        <f t="shared" si="7"/>
        <v>111</v>
      </c>
      <c r="AA13" s="1570">
        <f t="shared" si="3"/>
        <v>1</v>
      </c>
      <c r="AB13" s="1570">
        <f t="shared" si="4"/>
        <v>1</v>
      </c>
      <c r="AC13" s="1570">
        <f t="shared" si="5"/>
        <v>1</v>
      </c>
    </row>
    <row r="14" spans="1:29" ht="15.75" thickBot="1">
      <c r="A14" s="2918"/>
      <c r="B14" s="2924">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359"/>
      <c r="Q14" s="1149">
        <f t="shared" si="6"/>
        <v>111</v>
      </c>
      <c r="R14" s="1567" t="s">
        <v>11</v>
      </c>
      <c r="S14" s="1568">
        <f t="shared" si="0"/>
        <v>100</v>
      </c>
      <c r="T14" s="1567" t="s">
        <v>11</v>
      </c>
      <c r="U14" s="1568">
        <f t="shared" si="1"/>
        <v>100</v>
      </c>
      <c r="V14" s="1567" t="s">
        <v>11</v>
      </c>
      <c r="W14" s="1568">
        <f t="shared" si="2"/>
        <v>100</v>
      </c>
      <c r="X14" s="1569"/>
      <c r="Y14" s="3305"/>
      <c r="Z14" s="1148">
        <f t="shared" si="7"/>
        <v>111</v>
      </c>
      <c r="AA14" s="1570">
        <f t="shared" si="3"/>
        <v>1</v>
      </c>
      <c r="AB14" s="1570">
        <f t="shared" si="4"/>
        <v>1</v>
      </c>
      <c r="AC14" s="1570">
        <f t="shared" si="5"/>
        <v>1</v>
      </c>
    </row>
    <row r="15" spans="1:29" ht="15">
      <c r="A15" s="2910" t="s">
        <v>2751</v>
      </c>
      <c r="B15" s="166"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393" t="s">
        <v>540</v>
      </c>
      <c r="Q15" s="1571" t="str">
        <f t="shared" si="6"/>
        <v>居住社区成熟度</v>
      </c>
      <c r="R15" s="1572" t="s">
        <v>11</v>
      </c>
      <c r="S15" s="1573">
        <f t="shared" si="0"/>
        <v>100</v>
      </c>
      <c r="T15" s="1572" t="s">
        <v>11</v>
      </c>
      <c r="U15" s="1573">
        <f t="shared" si="1"/>
        <v>100</v>
      </c>
      <c r="V15" s="1572" t="s">
        <v>11</v>
      </c>
      <c r="W15" s="1573">
        <f t="shared" si="2"/>
        <v>100</v>
      </c>
      <c r="X15" s="1566"/>
      <c r="Y15" s="3393"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394"/>
      <c r="Q16" s="1571"/>
      <c r="R16" s="1572"/>
      <c r="S16" s="1573"/>
      <c r="T16" s="1572"/>
      <c r="U16" s="1573"/>
      <c r="V16" s="1572"/>
      <c r="W16" s="1573"/>
      <c r="X16" s="1566"/>
      <c r="Y16" s="3394"/>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394"/>
      <c r="Q17" s="1571" t="str">
        <f>B17</f>
        <v>交通便捷度</v>
      </c>
      <c r="R17" s="1572" t="s">
        <v>11</v>
      </c>
      <c r="S17" s="1573">
        <f>F17</f>
        <v>100</v>
      </c>
      <c r="T17" s="1572" t="s">
        <v>11</v>
      </c>
      <c r="U17" s="1573">
        <f>H17</f>
        <v>100</v>
      </c>
      <c r="V17" s="1572" t="s">
        <v>11</v>
      </c>
      <c r="W17" s="1573">
        <f>J17</f>
        <v>100</v>
      </c>
      <c r="X17" s="1566"/>
      <c r="Y17" s="3394"/>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394"/>
      <c r="Q18" s="1571"/>
      <c r="R18" s="1572"/>
      <c r="S18" s="1573"/>
      <c r="T18" s="1572"/>
      <c r="U18" s="1573"/>
      <c r="V18" s="1572"/>
      <c r="W18" s="1573"/>
      <c r="X18" s="1566"/>
      <c r="Y18" s="3394"/>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394"/>
      <c r="Q19" s="1571" t="str">
        <f>B19</f>
        <v>公共配套设施</v>
      </c>
      <c r="R19" s="1572" t="s">
        <v>11</v>
      </c>
      <c r="S19" s="1573">
        <f>F19</f>
        <v>100</v>
      </c>
      <c r="T19" s="1572" t="s">
        <v>11</v>
      </c>
      <c r="U19" s="1573">
        <f>H19</f>
        <v>100</v>
      </c>
      <c r="V19" s="1572" t="s">
        <v>11</v>
      </c>
      <c r="W19" s="1573">
        <f>J19</f>
        <v>100</v>
      </c>
      <c r="X19" s="1566"/>
      <c r="Y19" s="3394"/>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394"/>
      <c r="Q20" s="1571"/>
      <c r="R20" s="1572"/>
      <c r="S20" s="1573"/>
      <c r="T20" s="1572"/>
      <c r="U20" s="1573"/>
      <c r="V20" s="1572"/>
      <c r="W20" s="1573"/>
      <c r="X20" s="1566"/>
      <c r="Y20" s="3394"/>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394"/>
      <c r="Q21" s="2579" t="str">
        <f>B21</f>
        <v>基础设施水平</v>
      </c>
      <c r="R21" s="1572" t="s">
        <v>11</v>
      </c>
      <c r="S21" s="1573">
        <f>F21</f>
        <v>100</v>
      </c>
      <c r="T21" s="1572" t="s">
        <v>11</v>
      </c>
      <c r="U21" s="1573">
        <f>H21</f>
        <v>100</v>
      </c>
      <c r="V21" s="1572" t="s">
        <v>11</v>
      </c>
      <c r="W21" s="1573">
        <f>J21</f>
        <v>100</v>
      </c>
      <c r="X21" s="2581"/>
      <c r="Y21" s="3394"/>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99"/>
      <c r="L22" s="2142"/>
      <c r="M22" s="2134"/>
      <c r="N22" s="2134"/>
      <c r="O22" s="2141"/>
      <c r="P22" s="3394"/>
      <c r="Q22" s="2579"/>
      <c r="R22" s="1572"/>
      <c r="S22" s="1573"/>
      <c r="T22" s="1572"/>
      <c r="U22" s="1573"/>
      <c r="V22" s="1572"/>
      <c r="W22" s="1573"/>
      <c r="X22" s="2581"/>
      <c r="Y22" s="3394"/>
      <c r="Z22" s="2580"/>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394"/>
      <c r="Q23" s="1571" t="str">
        <f>B23</f>
        <v>自然及人文环境</v>
      </c>
      <c r="R23" s="1572" t="s">
        <v>11</v>
      </c>
      <c r="S23" s="1573">
        <f>F23</f>
        <v>100</v>
      </c>
      <c r="T23" s="1572" t="s">
        <v>11</v>
      </c>
      <c r="U23" s="1573">
        <f>H23</f>
        <v>100</v>
      </c>
      <c r="V23" s="1572" t="s">
        <v>11</v>
      </c>
      <c r="W23" s="1573">
        <f>J23</f>
        <v>100</v>
      </c>
      <c r="X23" s="1566"/>
      <c r="Y23" s="3394"/>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30"/>
      <c r="B25" s="1895" t="s">
        <v>2256</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394"/>
      <c r="Q25" s="1571" t="str">
        <f t="shared" ref="Q25:Q46" si="11">B25</f>
        <v>楼层-1</v>
      </c>
      <c r="R25" s="1572" t="s">
        <v>11</v>
      </c>
      <c r="S25" s="1573">
        <f>F25</f>
        <v>100</v>
      </c>
      <c r="T25" s="1572" t="s">
        <v>11</v>
      </c>
      <c r="U25" s="1573">
        <f>H25</f>
        <v>100</v>
      </c>
      <c r="V25" s="1572" t="s">
        <v>11</v>
      </c>
      <c r="W25" s="1573">
        <f>J25</f>
        <v>100</v>
      </c>
      <c r="X25" s="1566"/>
      <c r="Y25" s="3394"/>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394"/>
      <c r="Q26" s="1571" t="str">
        <f t="shared" si="11"/>
        <v>朝向</v>
      </c>
      <c r="R26" s="1572" t="s">
        <v>11</v>
      </c>
      <c r="S26" s="1573">
        <f>F26</f>
        <v>100</v>
      </c>
      <c r="T26" s="1572" t="s">
        <v>11</v>
      </c>
      <c r="U26" s="1573">
        <f>H26</f>
        <v>100</v>
      </c>
      <c r="V26" s="1572" t="s">
        <v>11</v>
      </c>
      <c r="W26" s="1573">
        <f>J26</f>
        <v>100</v>
      </c>
      <c r="X26" s="1566"/>
      <c r="Y26" s="3394"/>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394"/>
      <c r="Q27" s="1149" t="str">
        <f t="shared" si="11"/>
        <v>道路级别</v>
      </c>
      <c r="R27" s="1567" t="s">
        <v>11</v>
      </c>
      <c r="S27" s="1568">
        <f>F27</f>
        <v>100</v>
      </c>
      <c r="T27" s="1567" t="s">
        <v>11</v>
      </c>
      <c r="U27" s="1568">
        <f>H27</f>
        <v>100</v>
      </c>
      <c r="V27" s="1567" t="s">
        <v>11</v>
      </c>
      <c r="W27" s="1568">
        <f>J27</f>
        <v>100</v>
      </c>
      <c r="X27" s="1569"/>
      <c r="Y27" s="3394"/>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394"/>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4"/>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394"/>
      <c r="Q29" s="1571">
        <f t="shared" si="11"/>
        <v>111</v>
      </c>
      <c r="R29" s="1572" t="s">
        <v>11</v>
      </c>
      <c r="S29" s="1573">
        <f t="shared" si="12"/>
        <v>100</v>
      </c>
      <c r="T29" s="1572" t="s">
        <v>11</v>
      </c>
      <c r="U29" s="1573">
        <f t="shared" si="13"/>
        <v>100</v>
      </c>
      <c r="V29" s="1572" t="s">
        <v>11</v>
      </c>
      <c r="W29" s="1573">
        <f t="shared" si="14"/>
        <v>100</v>
      </c>
      <c r="X29" s="1566"/>
      <c r="Y29" s="3394"/>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394"/>
      <c r="Q30" s="1571">
        <f t="shared" si="11"/>
        <v>111</v>
      </c>
      <c r="R30" s="1572" t="s">
        <v>11</v>
      </c>
      <c r="S30" s="1573">
        <f t="shared" si="12"/>
        <v>100</v>
      </c>
      <c r="T30" s="1572" t="s">
        <v>11</v>
      </c>
      <c r="U30" s="1573">
        <f t="shared" si="13"/>
        <v>100</v>
      </c>
      <c r="V30" s="1572" t="s">
        <v>11</v>
      </c>
      <c r="W30" s="1573">
        <f t="shared" si="14"/>
        <v>100</v>
      </c>
      <c r="X30" s="1566"/>
      <c r="Y30" s="3394"/>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394"/>
      <c r="Q31" s="1571">
        <f t="shared" si="11"/>
        <v>111</v>
      </c>
      <c r="R31" s="1572" t="s">
        <v>11</v>
      </c>
      <c r="S31" s="1573">
        <f t="shared" si="12"/>
        <v>100</v>
      </c>
      <c r="T31" s="1572" t="s">
        <v>11</v>
      </c>
      <c r="U31" s="1573">
        <f t="shared" si="13"/>
        <v>100</v>
      </c>
      <c r="V31" s="1572" t="s">
        <v>11</v>
      </c>
      <c r="W31" s="1573">
        <f t="shared" si="14"/>
        <v>100</v>
      </c>
      <c r="X31" s="1566"/>
      <c r="Y31" s="3394"/>
      <c r="Z31" s="1574">
        <f t="shared" si="15"/>
        <v>111</v>
      </c>
      <c r="AA31" s="1575">
        <f t="shared" si="3"/>
        <v>1</v>
      </c>
      <c r="AB31" s="1575">
        <f t="shared" si="4"/>
        <v>1</v>
      </c>
      <c r="AC31" s="1575">
        <f t="shared" si="5"/>
        <v>1</v>
      </c>
    </row>
    <row r="32" spans="1:29" ht="15">
      <c r="A32" s="2907" t="s">
        <v>2752</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395" t="s">
        <v>550</v>
      </c>
      <c r="Q32" s="1571" t="str">
        <f t="shared" si="11"/>
        <v>建筑类型</v>
      </c>
      <c r="R32" s="1572" t="s">
        <v>11</v>
      </c>
      <c r="S32" s="1573">
        <f t="shared" si="12"/>
        <v>100</v>
      </c>
      <c r="T32" s="1572" t="s">
        <v>11</v>
      </c>
      <c r="U32" s="1573">
        <f t="shared" si="13"/>
        <v>100</v>
      </c>
      <c r="V32" s="1572" t="s">
        <v>11</v>
      </c>
      <c r="W32" s="1573">
        <f t="shared" si="14"/>
        <v>100</v>
      </c>
      <c r="X32" s="1566"/>
      <c r="Y32" s="3396"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396"/>
      <c r="Q33" s="1604" t="str">
        <f t="shared" si="11"/>
        <v>项目建筑规模</v>
      </c>
      <c r="R33" s="1576" t="s">
        <v>11</v>
      </c>
      <c r="S33" s="1577" t="e">
        <f t="shared" si="12"/>
        <v>#N/A</v>
      </c>
      <c r="T33" s="1576" t="s">
        <v>11</v>
      </c>
      <c r="U33" s="1577" t="e">
        <f t="shared" si="13"/>
        <v>#N/A</v>
      </c>
      <c r="V33" s="1576" t="s">
        <v>11</v>
      </c>
      <c r="W33" s="1577" t="e">
        <f t="shared" si="14"/>
        <v>#N/A</v>
      </c>
      <c r="X33" s="1578"/>
      <c r="Y33" s="3396"/>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396"/>
      <c r="Q34" s="1571" t="str">
        <f t="shared" si="11"/>
        <v>建筑结构</v>
      </c>
      <c r="R34" s="1572" t="s">
        <v>11</v>
      </c>
      <c r="S34" s="1573">
        <f t="shared" si="12"/>
        <v>100</v>
      </c>
      <c r="T34" s="1572" t="s">
        <v>11</v>
      </c>
      <c r="U34" s="1573">
        <f t="shared" si="13"/>
        <v>100</v>
      </c>
      <c r="V34" s="1572" t="s">
        <v>11</v>
      </c>
      <c r="W34" s="1573">
        <f t="shared" si="14"/>
        <v>100</v>
      </c>
      <c r="X34" s="1566"/>
      <c r="Y34" s="3396"/>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396"/>
      <c r="Q35" s="1571" t="str">
        <f t="shared" si="11"/>
        <v>建筑品质</v>
      </c>
      <c r="R35" s="1572" t="s">
        <v>11</v>
      </c>
      <c r="S35" s="1573">
        <f t="shared" si="12"/>
        <v>100</v>
      </c>
      <c r="T35" s="1572" t="s">
        <v>11</v>
      </c>
      <c r="U35" s="1573">
        <f t="shared" si="13"/>
        <v>100</v>
      </c>
      <c r="V35" s="1572" t="s">
        <v>11</v>
      </c>
      <c r="W35" s="1573">
        <f t="shared" si="14"/>
        <v>100</v>
      </c>
      <c r="X35" s="1566"/>
      <c r="Y35" s="3396"/>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396"/>
      <c r="Q36" s="1571" t="str">
        <f t="shared" si="11"/>
        <v>公共部分装修</v>
      </c>
      <c r="R36" s="1572" t="s">
        <v>11</v>
      </c>
      <c r="S36" s="1573">
        <f t="shared" si="12"/>
        <v>100</v>
      </c>
      <c r="T36" s="1572" t="s">
        <v>11</v>
      </c>
      <c r="U36" s="1573">
        <f t="shared" si="13"/>
        <v>100</v>
      </c>
      <c r="V36" s="1572" t="s">
        <v>11</v>
      </c>
      <c r="W36" s="1573">
        <f t="shared" si="14"/>
        <v>100</v>
      </c>
      <c r="X36" s="1566"/>
      <c r="Y36" s="3396"/>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396"/>
      <c r="Q37" s="1149" t="str">
        <f t="shared" si="11"/>
        <v>成新度</v>
      </c>
      <c r="R37" s="1567" t="s">
        <v>11</v>
      </c>
      <c r="S37" s="1568" t="e">
        <f t="shared" si="12"/>
        <v>#N/A</v>
      </c>
      <c r="T37" s="1567" t="s">
        <v>11</v>
      </c>
      <c r="U37" s="1568" t="e">
        <f t="shared" si="13"/>
        <v>#N/A</v>
      </c>
      <c r="V37" s="1567" t="s">
        <v>11</v>
      </c>
      <c r="W37" s="1568" t="e">
        <f t="shared" si="14"/>
        <v>#N/A</v>
      </c>
      <c r="X37" s="1569"/>
      <c r="Y37" s="3396"/>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396" t="s">
        <v>550</v>
      </c>
      <c r="Q38" s="1571" t="str">
        <f t="shared" si="11"/>
        <v>物业管理</v>
      </c>
      <c r="R38" s="1572" t="s">
        <v>11</v>
      </c>
      <c r="S38" s="1573">
        <f t="shared" si="12"/>
        <v>100</v>
      </c>
      <c r="T38" s="1572" t="s">
        <v>11</v>
      </c>
      <c r="U38" s="1573">
        <f t="shared" si="13"/>
        <v>100</v>
      </c>
      <c r="V38" s="1572" t="s">
        <v>11</v>
      </c>
      <c r="W38" s="1573">
        <f t="shared" si="14"/>
        <v>100</v>
      </c>
      <c r="X38" s="1566"/>
      <c r="Y38" s="3396" t="s">
        <v>550</v>
      </c>
      <c r="Z38" s="1574" t="str">
        <f t="shared" si="15"/>
        <v>物业管理</v>
      </c>
      <c r="AA38" s="1575">
        <f t="shared" si="3"/>
        <v>1</v>
      </c>
      <c r="AB38" s="1575">
        <f t="shared" si="4"/>
        <v>1</v>
      </c>
      <c r="AC38" s="1575">
        <f t="shared" si="5"/>
        <v>1</v>
      </c>
    </row>
    <row r="39" spans="1:29" ht="15">
      <c r="A39" s="592"/>
      <c r="B39" s="1895" t="s">
        <v>2562</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396"/>
      <c r="Q39" s="1571" t="str">
        <f t="shared" si="11"/>
        <v>市政基础设施</v>
      </c>
      <c r="R39" s="1572" t="s">
        <v>11</v>
      </c>
      <c r="S39" s="1573">
        <f t="shared" si="12"/>
        <v>100</v>
      </c>
      <c r="T39" s="1572" t="s">
        <v>11</v>
      </c>
      <c r="U39" s="1573">
        <f t="shared" si="13"/>
        <v>100</v>
      </c>
      <c r="V39" s="1572" t="s">
        <v>11</v>
      </c>
      <c r="W39" s="1573">
        <f t="shared" si="14"/>
        <v>100</v>
      </c>
      <c r="X39" s="1566"/>
      <c r="Y39" s="3396"/>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396"/>
      <c r="Q40" s="1571" t="str">
        <f t="shared" si="11"/>
        <v>房型</v>
      </c>
      <c r="R40" s="1572" t="s">
        <v>11</v>
      </c>
      <c r="S40" s="1573">
        <f t="shared" si="12"/>
        <v>100</v>
      </c>
      <c r="T40" s="1572" t="s">
        <v>11</v>
      </c>
      <c r="U40" s="1573">
        <f t="shared" si="13"/>
        <v>100</v>
      </c>
      <c r="V40" s="1572" t="s">
        <v>11</v>
      </c>
      <c r="W40" s="1573">
        <f t="shared" si="14"/>
        <v>100</v>
      </c>
      <c r="X40" s="1566"/>
      <c r="Y40" s="3396"/>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396"/>
      <c r="Q41" s="1604" t="str">
        <f t="shared" si="11"/>
        <v>单套/主力户型建筑面积</v>
      </c>
      <c r="R41" s="1576" t="s">
        <v>11</v>
      </c>
      <c r="S41" s="1577">
        <f t="shared" si="12"/>
        <v>100</v>
      </c>
      <c r="T41" s="1576" t="s">
        <v>11</v>
      </c>
      <c r="U41" s="1577">
        <f t="shared" si="13"/>
        <v>100</v>
      </c>
      <c r="V41" s="1576" t="s">
        <v>11</v>
      </c>
      <c r="W41" s="1577">
        <f t="shared" si="14"/>
        <v>100</v>
      </c>
      <c r="X41" s="1578"/>
      <c r="Y41" s="3396"/>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396"/>
      <c r="Q42" s="1571" t="str">
        <f t="shared" si="11"/>
        <v>内部装修</v>
      </c>
      <c r="R42" s="1572" t="s">
        <v>11</v>
      </c>
      <c r="S42" s="1573">
        <f t="shared" si="12"/>
        <v>100</v>
      </c>
      <c r="T42" s="1572" t="s">
        <v>11</v>
      </c>
      <c r="U42" s="1573">
        <f t="shared" si="13"/>
        <v>100</v>
      </c>
      <c r="V42" s="1572" t="s">
        <v>11</v>
      </c>
      <c r="W42" s="1573">
        <f t="shared" si="14"/>
        <v>100</v>
      </c>
      <c r="X42" s="1566"/>
      <c r="Y42" s="3396"/>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396"/>
      <c r="Q43" s="1571" t="str">
        <f t="shared" si="11"/>
        <v>内部装修维护情况</v>
      </c>
      <c r="R43" s="1572" t="s">
        <v>11</v>
      </c>
      <c r="S43" s="1573">
        <f t="shared" si="12"/>
        <v>100</v>
      </c>
      <c r="T43" s="1572" t="s">
        <v>11</v>
      </c>
      <c r="U43" s="1573">
        <f t="shared" si="13"/>
        <v>100</v>
      </c>
      <c r="V43" s="1572" t="s">
        <v>11</v>
      </c>
      <c r="W43" s="1573">
        <f t="shared" si="14"/>
        <v>100</v>
      </c>
      <c r="X43" s="1566"/>
      <c r="Y43" s="3396"/>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396"/>
      <c r="Q44" s="1149">
        <f t="shared" si="11"/>
        <v>111</v>
      </c>
      <c r="R44" s="1567" t="s">
        <v>11</v>
      </c>
      <c r="S44" s="1568">
        <f t="shared" si="12"/>
        <v>100</v>
      </c>
      <c r="T44" s="1567" t="s">
        <v>11</v>
      </c>
      <c r="U44" s="1568">
        <f t="shared" si="13"/>
        <v>100</v>
      </c>
      <c r="V44" s="1567" t="s">
        <v>11</v>
      </c>
      <c r="W44" s="1568">
        <f t="shared" si="14"/>
        <v>100</v>
      </c>
      <c r="X44" s="1569"/>
      <c r="Y44" s="3396"/>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396"/>
      <c r="Q45" s="1571">
        <f t="shared" si="11"/>
        <v>111</v>
      </c>
      <c r="R45" s="1572" t="s">
        <v>11</v>
      </c>
      <c r="S45" s="1573">
        <f t="shared" si="12"/>
        <v>100</v>
      </c>
      <c r="T45" s="1572" t="s">
        <v>11</v>
      </c>
      <c r="U45" s="1573">
        <f t="shared" si="13"/>
        <v>100</v>
      </c>
      <c r="V45" s="1572" t="s">
        <v>11</v>
      </c>
      <c r="W45" s="1573">
        <f t="shared" si="14"/>
        <v>100</v>
      </c>
      <c r="X45" s="1566"/>
      <c r="Y45" s="3396"/>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450"/>
      <c r="Q46" s="1571">
        <f t="shared" si="11"/>
        <v>111</v>
      </c>
      <c r="R46" s="1572" t="s">
        <v>10</v>
      </c>
      <c r="S46" s="1573">
        <f t="shared" si="12"/>
        <v>100</v>
      </c>
      <c r="T46" s="1572" t="s">
        <v>10</v>
      </c>
      <c r="U46" s="1573">
        <f t="shared" si="13"/>
        <v>100</v>
      </c>
      <c r="V46" s="1572" t="s">
        <v>10</v>
      </c>
      <c r="W46" s="1573">
        <f t="shared" si="14"/>
        <v>100</v>
      </c>
      <c r="X46" s="1566"/>
      <c r="Y46" s="3450"/>
      <c r="Z46" s="1574">
        <f t="shared" si="15"/>
        <v>111</v>
      </c>
      <c r="AA46" s="1575">
        <f t="shared" si="3"/>
        <v>1</v>
      </c>
      <c r="AB46" s="1575">
        <f t="shared" si="4"/>
        <v>1</v>
      </c>
      <c r="AC46" s="1575">
        <f t="shared" si="5"/>
        <v>1</v>
      </c>
    </row>
    <row r="47" spans="1:29" ht="15">
      <c r="A47" s="605" t="s">
        <v>736</v>
      </c>
      <c r="B47" s="885"/>
      <c r="C47" s="2627" t="s">
        <v>9</v>
      </c>
      <c r="D47" s="2628"/>
      <c r="E47" s="2629"/>
      <c r="F47" s="2630"/>
      <c r="G47" s="2631"/>
      <c r="H47" s="2632"/>
      <c r="I47" s="2629"/>
      <c r="J47" s="2632"/>
      <c r="K47" s="1605"/>
      <c r="L47" s="2144"/>
      <c r="M47" s="2145"/>
      <c r="N47" s="2134"/>
      <c r="O47" s="2145"/>
      <c r="P47" s="3359" t="str">
        <f>A47</f>
        <v>成交单价（元/平方米）</v>
      </c>
      <c r="Q47" s="3359"/>
      <c r="R47" s="3449">
        <f>E47</f>
        <v>0</v>
      </c>
      <c r="S47" s="3449"/>
      <c r="T47" s="3449">
        <f>G47</f>
        <v>0</v>
      </c>
      <c r="U47" s="3449"/>
      <c r="V47" s="3449">
        <f>I47</f>
        <v>0</v>
      </c>
      <c r="W47" s="3449"/>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06"/>
      <c r="L48" s="2144"/>
      <c r="M48" s="2145"/>
      <c r="N48" s="2145"/>
      <c r="O48" s="2145"/>
      <c r="P48" s="3359" t="str">
        <f>A48</f>
        <v>比较价格（元/平方米）</v>
      </c>
      <c r="Q48" s="3359"/>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07"/>
      <c r="L49" s="2144"/>
      <c r="M49" s="2145"/>
      <c r="N49" s="2145"/>
      <c r="O49" s="2145"/>
      <c r="P49" s="3356" t="str">
        <f>A49</f>
        <v>估价对象XX用房的比较价格（楼面单价，元/平方米）</v>
      </c>
      <c r="Q49" s="3357"/>
      <c r="R49" s="3448" t="e">
        <f>IF(F1="售价",ROUND(AVERAGE(R48:V48),0),ROUND(AVERAGE(R48:V48),1))</f>
        <v>#DIV/0!</v>
      </c>
      <c r="S49" s="3448"/>
      <c r="T49" s="3448"/>
      <c r="U49" s="3448"/>
      <c r="V49" s="3448"/>
      <c r="W49" s="344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2257</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2554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2469</v>
      </c>
      <c r="B1" s="3452"/>
      <c r="C1" s="3453"/>
      <c r="D1" s="3454">
        <f>SUM(I10,I15,I20,I21,I23)</f>
        <v>0</v>
      </c>
      <c r="E1" s="3454"/>
      <c r="F1" s="3454"/>
      <c r="G1" s="3454"/>
      <c r="H1" s="3454"/>
      <c r="I1" s="3455"/>
    </row>
    <row r="2" spans="1:9">
      <c r="A2" s="3456" t="s">
        <v>2470</v>
      </c>
      <c r="B2" s="3457" t="s">
        <v>2471</v>
      </c>
      <c r="C2" s="3457"/>
      <c r="D2" s="2507" t="s">
        <v>2472</v>
      </c>
      <c r="E2" s="2507" t="s">
        <v>2473</v>
      </c>
      <c r="F2" s="2507" t="s">
        <v>2474</v>
      </c>
      <c r="G2" s="2507" t="s">
        <v>2475</v>
      </c>
      <c r="H2" s="2507" t="s">
        <v>2476</v>
      </c>
      <c r="I2" s="2508" t="s">
        <v>2477</v>
      </c>
    </row>
    <row r="3" spans="1:9">
      <c r="A3" s="3456"/>
      <c r="B3" s="3457" t="s">
        <v>2478</v>
      </c>
      <c r="C3" s="3457"/>
      <c r="D3" s="2509"/>
      <c r="E3" s="2507"/>
      <c r="F3" s="2510"/>
      <c r="G3" s="2510"/>
      <c r="H3" s="2511"/>
      <c r="I3" s="2512">
        <f>ROUND(D3*E3*F3*G3*H3/10000,0)</f>
        <v>0</v>
      </c>
    </row>
    <row r="4" spans="1:9">
      <c r="A4" s="3456"/>
      <c r="B4" s="3457" t="s">
        <v>2479</v>
      </c>
      <c r="C4" s="3457"/>
      <c r="D4" s="2509"/>
      <c r="E4" s="2507"/>
      <c r="F4" s="2510"/>
      <c r="G4" s="2510"/>
      <c r="H4" s="2511"/>
      <c r="I4" s="2512">
        <f t="shared" ref="I4:I9" si="0">ROUND(D4*E4*F4*G4*H4/10000,0)</f>
        <v>0</v>
      </c>
    </row>
    <row r="5" spans="1:9">
      <c r="A5" s="3456"/>
      <c r="B5" s="3457" t="s">
        <v>2480</v>
      </c>
      <c r="C5" s="3457"/>
      <c r="D5" s="2509"/>
      <c r="E5" s="2507"/>
      <c r="F5" s="2510"/>
      <c r="G5" s="2510"/>
      <c r="H5" s="2511"/>
      <c r="I5" s="2512">
        <f t="shared" si="0"/>
        <v>0</v>
      </c>
    </row>
    <row r="6" spans="1:9">
      <c r="A6" s="3456"/>
      <c r="B6" s="3457" t="s">
        <v>2481</v>
      </c>
      <c r="C6" s="3457"/>
      <c r="D6" s="2509"/>
      <c r="E6" s="2507"/>
      <c r="F6" s="2510"/>
      <c r="G6" s="2510"/>
      <c r="H6" s="2511"/>
      <c r="I6" s="2512">
        <f t="shared" si="0"/>
        <v>0</v>
      </c>
    </row>
    <row r="7" spans="1:9">
      <c r="A7" s="3456"/>
      <c r="B7" s="3457" t="s">
        <v>2482</v>
      </c>
      <c r="C7" s="3457"/>
      <c r="D7" s="2509"/>
      <c r="E7" s="2507"/>
      <c r="F7" s="2510"/>
      <c r="G7" s="2510"/>
      <c r="H7" s="2511"/>
      <c r="I7" s="2512">
        <f t="shared" si="0"/>
        <v>0</v>
      </c>
    </row>
    <row r="8" spans="1:9">
      <c r="A8" s="3456"/>
      <c r="B8" s="3457" t="s">
        <v>2483</v>
      </c>
      <c r="C8" s="3457"/>
      <c r="D8" s="2509"/>
      <c r="E8" s="2507"/>
      <c r="F8" s="2510"/>
      <c r="G8" s="2510"/>
      <c r="H8" s="2511"/>
      <c r="I8" s="2512">
        <f t="shared" si="0"/>
        <v>0</v>
      </c>
    </row>
    <row r="9" spans="1:9">
      <c r="A9" s="3456"/>
      <c r="B9" s="3457" t="s">
        <v>2484</v>
      </c>
      <c r="C9" s="3457"/>
      <c r="D9" s="2509"/>
      <c r="E9" s="2507"/>
      <c r="F9" s="2510"/>
      <c r="G9" s="2510"/>
      <c r="H9" s="2511"/>
      <c r="I9" s="2512">
        <f t="shared" si="0"/>
        <v>0</v>
      </c>
    </row>
    <row r="10" spans="1:9">
      <c r="A10" s="3456"/>
      <c r="B10" s="3458" t="s">
        <v>2485</v>
      </c>
      <c r="C10" s="3458"/>
      <c r="D10" s="2513">
        <v>527</v>
      </c>
      <c r="E10" s="2513" t="e">
        <f>ROUND(D1*10000/D10/H9,0)</f>
        <v>#DIV/0!</v>
      </c>
      <c r="F10" s="2514"/>
      <c r="G10" s="2514"/>
      <c r="H10" s="2515"/>
      <c r="I10" s="2516">
        <f>SUM(I3:I9)</f>
        <v>0</v>
      </c>
    </row>
    <row r="11" spans="1:9" ht="14.25">
      <c r="A11" s="3456" t="s">
        <v>2486</v>
      </c>
      <c r="B11" s="3457" t="s">
        <v>2487</v>
      </c>
      <c r="C11" s="3457"/>
      <c r="D11" s="2509" t="s">
        <v>2488</v>
      </c>
      <c r="E11" s="2509" t="s">
        <v>2489</v>
      </c>
      <c r="F11" s="2510" t="s">
        <v>2490</v>
      </c>
      <c r="G11" s="2510" t="s">
        <v>2491</v>
      </c>
      <c r="H11" s="2517" t="s">
        <v>2492</v>
      </c>
      <c r="I11" s="2508" t="s">
        <v>2493</v>
      </c>
    </row>
    <row r="12" spans="1:9">
      <c r="A12" s="3456"/>
      <c r="B12" s="3457" t="s">
        <v>2494</v>
      </c>
      <c r="C12" s="3457"/>
      <c r="D12" s="2509"/>
      <c r="E12" s="2509"/>
      <c r="F12" s="2510"/>
      <c r="G12" s="2511"/>
      <c r="H12" s="2518"/>
      <c r="I12" s="2508">
        <f>ROUND(D12*E12*F12*G12/10000,0)</f>
        <v>0</v>
      </c>
    </row>
    <row r="13" spans="1:9">
      <c r="A13" s="3456"/>
      <c r="B13" s="3457" t="s">
        <v>2495</v>
      </c>
      <c r="C13" s="3457"/>
      <c r="D13" s="2509"/>
      <c r="E13" s="2509"/>
      <c r="F13" s="2510"/>
      <c r="G13" s="2511"/>
      <c r="H13" s="2518"/>
      <c r="I13" s="2508">
        <f>ROUND(D13*E13*F13*G13/10000,0)</f>
        <v>0</v>
      </c>
    </row>
    <row r="14" spans="1:9">
      <c r="A14" s="3456"/>
      <c r="B14" s="3457" t="s">
        <v>2496</v>
      </c>
      <c r="C14" s="3457"/>
      <c r="D14" s="2509"/>
      <c r="E14" s="2509"/>
      <c r="F14" s="2510"/>
      <c r="G14" s="2511"/>
      <c r="H14" s="2518"/>
      <c r="I14" s="2508">
        <f>ROUND(D14*E14*F14*G14/10000,0)</f>
        <v>0</v>
      </c>
    </row>
    <row r="15" spans="1:9">
      <c r="A15" s="3456"/>
      <c r="B15" s="3458" t="s">
        <v>2485</v>
      </c>
      <c r="C15" s="3458"/>
      <c r="D15" s="2513"/>
      <c r="E15" s="2513">
        <f>SUM(E12:E14)</f>
        <v>0</v>
      </c>
      <c r="F15" s="2514"/>
      <c r="G15" s="2511"/>
      <c r="H15" s="2518"/>
      <c r="I15" s="2519">
        <f>SUM(I12:I14)</f>
        <v>0</v>
      </c>
    </row>
    <row r="16" spans="1:9" ht="24">
      <c r="A16" s="3456" t="s">
        <v>2497</v>
      </c>
      <c r="B16" s="3457" t="s">
        <v>2498</v>
      </c>
      <c r="C16" s="3457"/>
      <c r="D16" s="2509" t="s">
        <v>2499</v>
      </c>
      <c r="E16" s="2520" t="s">
        <v>2500</v>
      </c>
      <c r="F16" s="2510" t="s">
        <v>2501</v>
      </c>
      <c r="G16" s="2511" t="s">
        <v>2491</v>
      </c>
      <c r="H16" s="2517" t="s">
        <v>2492</v>
      </c>
      <c r="I16" s="2508" t="s">
        <v>2493</v>
      </c>
    </row>
    <row r="17" spans="1:9" ht="14.25">
      <c r="A17" s="3456"/>
      <c r="B17" s="3457" t="s">
        <v>2502</v>
      </c>
      <c r="C17" s="3457"/>
      <c r="D17" s="2509"/>
      <c r="E17" s="2509"/>
      <c r="F17" s="2510"/>
      <c r="G17" s="2511"/>
      <c r="H17" s="2521"/>
      <c r="I17" s="2522">
        <f>ROUND(D17*E17*F17*G17/10000,0)</f>
        <v>0</v>
      </c>
    </row>
    <row r="18" spans="1:9" ht="14.25">
      <c r="A18" s="3456"/>
      <c r="B18" s="3457" t="s">
        <v>2503</v>
      </c>
      <c r="C18" s="3457"/>
      <c r="D18" s="2509"/>
      <c r="E18" s="2509"/>
      <c r="F18" s="2510"/>
      <c r="G18" s="2511"/>
      <c r="H18" s="2521"/>
      <c r="I18" s="2522">
        <f>ROUND(D18*E18*F18*G18/10000,0)</f>
        <v>0</v>
      </c>
    </row>
    <row r="19" spans="1:9" ht="14.25">
      <c r="A19" s="3456"/>
      <c r="B19" s="3457" t="s">
        <v>2504</v>
      </c>
      <c r="C19" s="3457"/>
      <c r="D19" s="2509"/>
      <c r="E19" s="2509"/>
      <c r="F19" s="2510"/>
      <c r="G19" s="2511"/>
      <c r="H19" s="2521"/>
      <c r="I19" s="2522">
        <f>ROUND(D19*E19*F19*G19/10000,0)</f>
        <v>0</v>
      </c>
    </row>
    <row r="20" spans="1:9">
      <c r="A20" s="3456"/>
      <c r="B20" s="3458" t="s">
        <v>2485</v>
      </c>
      <c r="C20" s="3458"/>
      <c r="D20" s="2513">
        <f>SUM(D17:D19)</f>
        <v>0</v>
      </c>
      <c r="E20" s="2513"/>
      <c r="F20" s="2514"/>
      <c r="G20" s="2511"/>
      <c r="H20" s="2518"/>
      <c r="I20" s="2519">
        <f>SUM(I17:I19)</f>
        <v>0</v>
      </c>
    </row>
    <row r="21" spans="1:9">
      <c r="A21" s="3456" t="s">
        <v>2505</v>
      </c>
      <c r="B21" s="3460"/>
      <c r="C21" s="3460"/>
      <c r="D21" s="3460"/>
      <c r="E21" s="3460"/>
      <c r="F21" s="3460"/>
      <c r="G21" s="3460"/>
      <c r="H21" s="2523">
        <v>0.1</v>
      </c>
      <c r="I21" s="2516">
        <f>ROUND(I10*H21,0)</f>
        <v>0</v>
      </c>
    </row>
    <row r="22" spans="1:9" ht="14.25">
      <c r="A22" s="3461" t="s">
        <v>2506</v>
      </c>
      <c r="B22" s="3462"/>
      <c r="C22" s="3463"/>
      <c r="D22" s="2524" t="s">
        <v>2507</v>
      </c>
      <c r="E22" s="2524" t="s">
        <v>2508</v>
      </c>
      <c r="F22" s="2525" t="s">
        <v>2509</v>
      </c>
      <c r="G22" s="2525" t="s">
        <v>2510</v>
      </c>
      <c r="H22" s="2517" t="s">
        <v>2511</v>
      </c>
      <c r="I22" s="2508" t="s">
        <v>2512</v>
      </c>
    </row>
    <row r="23" spans="1:9" ht="14.25" thickBot="1">
      <c r="A23" s="3464"/>
      <c r="B23" s="3465"/>
      <c r="C23" s="3466"/>
      <c r="D23" s="2526"/>
      <c r="E23" s="2526"/>
      <c r="F23" s="2526"/>
      <c r="G23" s="2527"/>
      <c r="H23" s="2528"/>
      <c r="I23" s="2529">
        <f>ROUND(E23*D23*F23*(1-G23)/10000,0)</f>
        <v>0</v>
      </c>
    </row>
    <row r="26" spans="1:9">
      <c r="A26" s="2530" t="s">
        <v>2513</v>
      </c>
      <c r="B26" s="2530"/>
      <c r="C26" s="2530"/>
      <c r="D26" s="2530"/>
      <c r="E26" s="3467">
        <f>C27-C30-C31-C32</f>
        <v>0</v>
      </c>
      <c r="F26" s="3467"/>
      <c r="G26" s="3467"/>
      <c r="H26" s="3041" t="s">
        <v>2840</v>
      </c>
    </row>
    <row r="27" spans="1:9">
      <c r="A27" s="2531">
        <v>1</v>
      </c>
      <c r="B27" s="2532" t="s">
        <v>2514</v>
      </c>
      <c r="C27" s="2532"/>
      <c r="D27" s="2532"/>
      <c r="E27" s="3468"/>
      <c r="F27" s="3468"/>
      <c r="G27" s="3468"/>
    </row>
    <row r="28" spans="1:9">
      <c r="A28" s="2533" t="s">
        <v>2515</v>
      </c>
      <c r="B28" s="2532" t="s">
        <v>2516</v>
      </c>
      <c r="C28" s="2532"/>
      <c r="D28" s="2532"/>
      <c r="E28" s="3468"/>
      <c r="F28" s="3468"/>
      <c r="G28" s="3468"/>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59"/>
      <c r="F32" s="3459"/>
      <c r="G32" s="3459"/>
    </row>
    <row r="33" spans="1:7" hidden="1">
      <c r="A33" s="3469" t="s">
        <v>2524</v>
      </c>
      <c r="B33" s="3470"/>
      <c r="C33" s="3470"/>
      <c r="D33" s="3471"/>
      <c r="E33" s="3467"/>
      <c r="F33" s="3467"/>
      <c r="G33" s="3467"/>
    </row>
    <row r="34" spans="1:7" hidden="1">
      <c r="A34" s="2535">
        <v>1</v>
      </c>
      <c r="B34" s="2532" t="s">
        <v>2525</v>
      </c>
      <c r="C34" s="2532"/>
      <c r="D34" s="2532"/>
      <c r="E34" s="3468"/>
      <c r="F34" s="3468"/>
      <c r="G34" s="3468"/>
    </row>
    <row r="35" spans="1:7" hidden="1">
      <c r="A35" s="2535">
        <v>2</v>
      </c>
      <c r="B35" s="2532" t="s">
        <v>2526</v>
      </c>
      <c r="C35" s="2532"/>
      <c r="D35" s="2532"/>
      <c r="E35" s="3468"/>
      <c r="F35" s="3468"/>
      <c r="G35" s="3468"/>
    </row>
    <row r="36" spans="1:7" hidden="1">
      <c r="A36" s="2535">
        <v>3</v>
      </c>
      <c r="B36" s="2532" t="s">
        <v>2527</v>
      </c>
      <c r="C36" s="2532"/>
      <c r="D36" s="2532"/>
      <c r="E36" s="3468"/>
      <c r="F36" s="3468"/>
      <c r="G36" s="3468"/>
    </row>
    <row r="37" spans="1:7" hidden="1">
      <c r="A37" s="2535">
        <v>4</v>
      </c>
      <c r="B37" s="2532" t="s">
        <v>2528</v>
      </c>
      <c r="C37" s="2532"/>
      <c r="D37" s="2532"/>
      <c r="E37" s="3468"/>
      <c r="F37" s="3468"/>
      <c r="G37" s="3468"/>
    </row>
    <row r="38" spans="1:7" hidden="1">
      <c r="A38" s="3469" t="s">
        <v>2529</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0</v>
      </c>
      <c r="C2" s="2108"/>
      <c r="D2" s="2108"/>
      <c r="E2" s="2108"/>
      <c r="F2" s="2108"/>
      <c r="G2" s="2108"/>
    </row>
    <row r="3" spans="1:25" s="2059" customFormat="1" ht="18" customHeight="1">
      <c r="A3" s="1378" t="s">
        <v>1686</v>
      </c>
      <c r="B3" s="423">
        <f ca="1">ROUND(B2*10000/'数据-汇总表'!E3,0)</f>
        <v>0</v>
      </c>
      <c r="C3" s="2108"/>
      <c r="D3" s="2108"/>
      <c r="E3" s="2108"/>
      <c r="F3" s="2108"/>
      <c r="G3" s="2108"/>
    </row>
    <row r="4" spans="1:25" s="2059" customFormat="1" ht="18" customHeight="1">
      <c r="A4" s="424" t="s">
        <v>468</v>
      </c>
      <c r="B4" s="425">
        <f ca="1">ROUND(B2*10000/'数据-汇总表'!D3,0)</f>
        <v>0</v>
      </c>
      <c r="C4" s="2061"/>
      <c r="D4" s="2108"/>
      <c r="E4" s="2108"/>
      <c r="F4" s="2108"/>
      <c r="G4" s="2108"/>
    </row>
    <row r="5" spans="1:25" s="2059" customFormat="1" ht="18" customHeight="1" thickBot="1">
      <c r="A5" s="427"/>
      <c r="B5" s="428">
        <f ca="1">ROUND(B2/('数据-汇总表'!D3/666.67),0)</f>
        <v>0</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69">
        <v>1</v>
      </c>
      <c r="B7" s="746" t="s">
        <v>609</v>
      </c>
      <c r="C7" s="747">
        <f>C8+C9</f>
        <v>0</v>
      </c>
      <c r="D7" s="747"/>
      <c r="E7" s="748"/>
      <c r="F7" s="748"/>
      <c r="G7" s="2479"/>
    </row>
    <row r="8" spans="1:25" s="2183" customFormat="1" ht="13.5" customHeight="1">
      <c r="A8" s="2469" t="s">
        <v>2438</v>
      </c>
      <c r="B8" s="2472" t="s">
        <v>2440</v>
      </c>
      <c r="C8" s="2473"/>
      <c r="D8" s="747"/>
      <c r="E8" s="748"/>
      <c r="F8" s="748"/>
      <c r="G8" s="749"/>
    </row>
    <row r="9" spans="1:25" s="2183" customFormat="1" ht="13.5" customHeight="1">
      <c r="A9" s="2469" t="s">
        <v>2439</v>
      </c>
      <c r="B9" s="2472" t="s">
        <v>2441</v>
      </c>
      <c r="C9" s="2473"/>
      <c r="D9" s="747"/>
      <c r="E9" s="748"/>
      <c r="F9" s="748"/>
      <c r="G9" s="749"/>
    </row>
    <row r="10" spans="1:25" s="2183" customFormat="1" ht="36">
      <c r="A10" s="2469">
        <v>2</v>
      </c>
      <c r="B10" s="746" t="s">
        <v>613</v>
      </c>
      <c r="C10" s="747">
        <f>C11+C14+C15</f>
        <v>0</v>
      </c>
      <c r="D10" s="758">
        <f>'数据-汇总表'!E3</f>
        <v>229492.13999999998</v>
      </c>
      <c r="E10" s="747">
        <f>'数据-取费表'!B31</f>
        <v>200</v>
      </c>
      <c r="F10" s="759"/>
      <c r="G10" s="757" t="s">
        <v>614</v>
      </c>
    </row>
    <row r="11" spans="1:25" s="2183" customFormat="1" ht="13.5" customHeight="1">
      <c r="A11" s="2469" t="s">
        <v>2438</v>
      </c>
      <c r="B11" s="750" t="s">
        <v>610</v>
      </c>
      <c r="C11" s="751">
        <f>'数据-取费表'!B29</f>
        <v>0</v>
      </c>
      <c r="D11" s="752"/>
      <c r="E11" s="751"/>
      <c r="F11" s="753"/>
      <c r="G11" s="2478" t="s">
        <v>2449</v>
      </c>
    </row>
    <row r="12" spans="1:25" s="2183" customFormat="1" ht="13.5" customHeight="1">
      <c r="A12" s="2476" t="s">
        <v>2446</v>
      </c>
      <c r="B12" s="754" t="s">
        <v>611</v>
      </c>
      <c r="C12" s="755">
        <f>ROUND(D12*E12/10000,0)</f>
        <v>2117</v>
      </c>
      <c r="D12" s="756">
        <f>'数据-汇总表'!E5</f>
        <v>132334.82</v>
      </c>
      <c r="E12" s="755">
        <f>'数据-取费表'!B27</f>
        <v>160</v>
      </c>
      <c r="F12" s="753"/>
      <c r="G12" s="757"/>
    </row>
    <row r="13" spans="1:25" s="2183" customFormat="1" ht="13.5" customHeight="1">
      <c r="A13" s="2476" t="s">
        <v>2445</v>
      </c>
      <c r="B13" s="754" t="s">
        <v>612</v>
      </c>
      <c r="C13" s="755">
        <f>ROUND(D13*E13/10000,0)</f>
        <v>1943</v>
      </c>
      <c r="D13" s="756">
        <f>'数据-汇总表'!E6</f>
        <v>97157.319999999978</v>
      </c>
      <c r="E13" s="755">
        <f>'数据-取费表'!B28</f>
        <v>200</v>
      </c>
      <c r="F13" s="753"/>
      <c r="G13" s="757"/>
    </row>
    <row r="14" spans="1:25" s="2183" customFormat="1" ht="13.5" customHeight="1">
      <c r="A14" s="2469" t="s">
        <v>2439</v>
      </c>
      <c r="B14" s="2475" t="s">
        <v>2442</v>
      </c>
      <c r="C14" s="2473"/>
      <c r="D14" s="756"/>
      <c r="E14" s="755"/>
      <c r="F14" s="2474"/>
      <c r="G14" s="2477" t="s">
        <v>2447</v>
      </c>
    </row>
    <row r="15" spans="1:25" s="2183" customFormat="1" ht="13.5" customHeight="1">
      <c r="A15" s="2469" t="s">
        <v>2444</v>
      </c>
      <c r="B15" s="2475" t="s">
        <v>2443</v>
      </c>
      <c r="C15" s="2473"/>
      <c r="D15" s="756"/>
      <c r="E15" s="755"/>
      <c r="F15" s="2474"/>
      <c r="G15" s="2477" t="s">
        <v>2448</v>
      </c>
    </row>
    <row r="16" spans="1:25" s="2184" customFormat="1" ht="48">
      <c r="A16" s="2469">
        <v>3</v>
      </c>
      <c r="B16" s="746" t="s">
        <v>615</v>
      </c>
      <c r="C16" s="2473"/>
      <c r="D16" s="758"/>
      <c r="E16" s="747"/>
      <c r="F16" s="759"/>
      <c r="G16" s="757"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6" t="s">
        <v>616</v>
      </c>
      <c r="C17" s="257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6" t="s">
        <v>617</v>
      </c>
      <c r="C18" s="747">
        <f>ROUND((C7+C10+C16)*F18,0)</f>
        <v>0</v>
      </c>
      <c r="D18" s="760"/>
      <c r="E18" s="761"/>
      <c r="F18" s="759">
        <f>'数据-取费表'!Q16</f>
        <v>0.06</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6" t="s">
        <v>619</v>
      </c>
      <c r="C19" s="747">
        <f ca="1">C7+C10+C16+C17+C18</f>
        <v>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6" t="s">
        <v>623</v>
      </c>
      <c r="C21" s="747">
        <f ca="1">C19+C20</f>
        <v>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6" t="s">
        <v>625</v>
      </c>
      <c r="C22" s="747">
        <f ca="1">ROUND(C21*F22,0)</f>
        <v>0</v>
      </c>
      <c r="D22" s="758"/>
      <c r="E22" s="747"/>
      <c r="F22" s="764">
        <f>'数据-取费表'!AP16</f>
        <v>0.91500000000000004</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5" t="s">
        <v>627</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365" t="s">
        <v>522</v>
      </c>
      <c r="D4" s="3366"/>
      <c r="E4" s="3399" t="s">
        <v>523</v>
      </c>
      <c r="F4" s="3400"/>
      <c r="G4" s="3365" t="s">
        <v>524</v>
      </c>
      <c r="H4" s="3366"/>
      <c r="I4" s="3365" t="s">
        <v>525</v>
      </c>
      <c r="J4" s="3366"/>
      <c r="K4" s="512"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0" t="s">
        <v>524</v>
      </c>
      <c r="AC4" s="3362" t="s">
        <v>525</v>
      </c>
    </row>
    <row r="5" spans="1:29" ht="15">
      <c r="A5" s="513"/>
      <c r="B5" s="514"/>
      <c r="C5" s="3381" t="s">
        <v>2915</v>
      </c>
      <c r="D5" s="3382"/>
      <c r="E5" s="3401" t="s">
        <v>2916</v>
      </c>
      <c r="F5" s="3402"/>
      <c r="G5" s="3381" t="s">
        <v>2917</v>
      </c>
      <c r="H5" s="3382"/>
      <c r="I5" s="3381" t="s">
        <v>2918</v>
      </c>
      <c r="J5" s="3382"/>
      <c r="K5" s="512"/>
      <c r="L5" s="2133"/>
      <c r="M5" s="2134"/>
      <c r="N5" s="2134"/>
      <c r="O5" s="2134"/>
      <c r="P5" s="3369"/>
      <c r="Q5" s="3370"/>
      <c r="R5" s="3375"/>
      <c r="S5" s="3376"/>
      <c r="T5" s="3375"/>
      <c r="U5" s="3376"/>
      <c r="V5" s="3360"/>
      <c r="W5" s="3360"/>
      <c r="X5" s="1566"/>
      <c r="Y5" s="3375"/>
      <c r="Z5" s="3376"/>
      <c r="AA5" s="3363"/>
      <c r="AB5" s="3360"/>
      <c r="AC5" s="3363"/>
    </row>
    <row r="6" spans="1:29" ht="15.75" thickBot="1">
      <c r="A6" s="515"/>
      <c r="B6" s="516"/>
      <c r="C6" s="3379" t="s">
        <v>2919</v>
      </c>
      <c r="D6" s="3380"/>
      <c r="E6" s="3397" t="s">
        <v>2919</v>
      </c>
      <c r="F6" s="3398"/>
      <c r="G6" s="3379" t="s">
        <v>2919</v>
      </c>
      <c r="H6" s="3380"/>
      <c r="I6" s="3379" t="s">
        <v>2919</v>
      </c>
      <c r="J6" s="3380"/>
      <c r="K6" s="512" t="s">
        <v>528</v>
      </c>
      <c r="L6" s="2133"/>
      <c r="M6" s="2134"/>
      <c r="N6" s="2134"/>
      <c r="O6" s="2134"/>
      <c r="P6" s="3371"/>
      <c r="Q6" s="3372"/>
      <c r="R6" s="3375"/>
      <c r="S6" s="3376"/>
      <c r="T6" s="3377"/>
      <c r="U6" s="3378"/>
      <c r="V6" s="3360"/>
      <c r="W6" s="3360"/>
      <c r="X6" s="1566"/>
      <c r="Y6" s="3377"/>
      <c r="Z6" s="3378"/>
      <c r="AA6" s="3364"/>
      <c r="AB6" s="3360"/>
      <c r="AC6" s="3364"/>
    </row>
    <row r="7" spans="1:29" s="1218" customFormat="1" ht="15.75" thickBot="1">
      <c r="A7" s="2912"/>
      <c r="B7" s="2919" t="s">
        <v>529</v>
      </c>
      <c r="C7" s="517">
        <f>'数据-取费表'!B2</f>
        <v>43384</v>
      </c>
      <c r="D7" s="518">
        <v>100</v>
      </c>
      <c r="E7" s="519"/>
      <c r="F7" s="520">
        <f>SUMIF(58:58,YEAR(E7)&amp;"-"&amp;MONTH(E7),59:59)</f>
        <v>0</v>
      </c>
      <c r="G7" s="519"/>
      <c r="H7" s="518">
        <f>SUMIF(58:58,YEAR(G7)&amp;"-"&amp;MONTH(G7),59:59)</f>
        <v>0</v>
      </c>
      <c r="I7" s="519"/>
      <c r="J7" s="518">
        <f>SUMIF(58:58,YEAR(I7)&amp;"-"&amp;MONTH(I7),59:59)</f>
        <v>0</v>
      </c>
      <c r="K7" s="522"/>
      <c r="L7" s="2135"/>
      <c r="M7" s="2136"/>
      <c r="N7" s="2136"/>
      <c r="O7" s="2136"/>
      <c r="P7" s="3390"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8" customFormat="1" ht="15.75" thickBot="1">
      <c r="A8" s="2913"/>
      <c r="B8" s="2920"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46" si="3">D8/F8</f>
        <v>#DIV/0!</v>
      </c>
      <c r="AB8" s="1570" t="e">
        <f t="shared" ref="AB8:AB46" si="4">D8/H8</f>
        <v>#DIV/0!</v>
      </c>
      <c r="AC8" s="1570" t="e">
        <f t="shared" ref="AC8:AC46" si="5">D8/J8</f>
        <v>#DIV/0!</v>
      </c>
    </row>
    <row r="9" spans="1:29" s="1218" customFormat="1" ht="15">
      <c r="A9" s="2914"/>
      <c r="B9" s="2921" t="s">
        <v>2753</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359" t="s">
        <v>535</v>
      </c>
      <c r="Q9" s="1149" t="str">
        <f t="shared" ref="Q9:Q15" si="6">B9</f>
        <v>用途</v>
      </c>
      <c r="R9" s="1567" t="s">
        <v>8</v>
      </c>
      <c r="S9" s="1568">
        <f t="shared" si="0"/>
        <v>100</v>
      </c>
      <c r="T9" s="1567" t="s">
        <v>8</v>
      </c>
      <c r="U9" s="1568">
        <f t="shared" si="1"/>
        <v>100</v>
      </c>
      <c r="V9" s="1567" t="s">
        <v>8</v>
      </c>
      <c r="W9" s="1568">
        <f t="shared" si="2"/>
        <v>100</v>
      </c>
      <c r="X9" s="1569"/>
      <c r="Y9" s="3305"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359"/>
      <c r="Q11" s="1149" t="str">
        <f t="shared" si="6"/>
        <v>容积率</v>
      </c>
      <c r="R11" s="1567" t="s">
        <v>8</v>
      </c>
      <c r="S11" s="1568" t="e">
        <f t="shared" si="0"/>
        <v>#N/A</v>
      </c>
      <c r="T11" s="1567" t="s">
        <v>8</v>
      </c>
      <c r="U11" s="1568" t="e">
        <f t="shared" si="1"/>
        <v>#N/A</v>
      </c>
      <c r="V11" s="1567" t="s">
        <v>8</v>
      </c>
      <c r="W11" s="1568" t="e">
        <f t="shared" si="2"/>
        <v>#N/A</v>
      </c>
      <c r="X11" s="1569"/>
      <c r="Y11" s="3305"/>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359"/>
      <c r="Q12" s="1149">
        <f t="shared" si="6"/>
        <v>111</v>
      </c>
      <c r="R12" s="1567" t="s">
        <v>8</v>
      </c>
      <c r="S12" s="1568">
        <f t="shared" si="0"/>
        <v>100</v>
      </c>
      <c r="T12" s="1567" t="s">
        <v>8</v>
      </c>
      <c r="U12" s="1568">
        <f t="shared" si="1"/>
        <v>100</v>
      </c>
      <c r="V12" s="1567" t="s">
        <v>8</v>
      </c>
      <c r="W12" s="1568">
        <f t="shared" si="2"/>
        <v>100</v>
      </c>
      <c r="X12" s="1569"/>
      <c r="Y12" s="3305"/>
      <c r="Z12" s="1148">
        <f t="shared" si="7"/>
        <v>111</v>
      </c>
      <c r="AA12" s="1570">
        <f>D12/F12</f>
        <v>1</v>
      </c>
      <c r="AB12" s="1570">
        <f>D12/H12</f>
        <v>1</v>
      </c>
      <c r="AC12" s="1570">
        <f>D12/J12</f>
        <v>1</v>
      </c>
    </row>
    <row r="13" spans="1:29" ht="15">
      <c r="A13" s="2917"/>
      <c r="B13" s="2923">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359"/>
      <c r="Q13" s="1149">
        <f t="shared" si="6"/>
        <v>111</v>
      </c>
      <c r="R13" s="1567" t="s">
        <v>8</v>
      </c>
      <c r="S13" s="1568">
        <f t="shared" si="0"/>
        <v>100</v>
      </c>
      <c r="T13" s="1567" t="s">
        <v>8</v>
      </c>
      <c r="U13" s="1568">
        <f t="shared" si="1"/>
        <v>100</v>
      </c>
      <c r="V13" s="1567" t="s">
        <v>8</v>
      </c>
      <c r="W13" s="1568">
        <f t="shared" si="2"/>
        <v>100</v>
      </c>
      <c r="X13" s="1569"/>
      <c r="Y13" s="3305"/>
      <c r="Z13" s="1148">
        <f t="shared" si="7"/>
        <v>111</v>
      </c>
      <c r="AA13" s="1570">
        <f t="shared" si="3"/>
        <v>1</v>
      </c>
      <c r="AB13" s="1570">
        <f t="shared" si="4"/>
        <v>1</v>
      </c>
      <c r="AC13" s="1570">
        <f t="shared" si="5"/>
        <v>1</v>
      </c>
    </row>
    <row r="14" spans="1:29" ht="15.75" thickBot="1">
      <c r="A14" s="2918"/>
      <c r="B14" s="2924">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359"/>
      <c r="Q14" s="1149">
        <f t="shared" si="6"/>
        <v>111</v>
      </c>
      <c r="R14" s="1567" t="s">
        <v>8</v>
      </c>
      <c r="S14" s="1568">
        <f t="shared" si="0"/>
        <v>100</v>
      </c>
      <c r="T14" s="1567" t="s">
        <v>8</v>
      </c>
      <c r="U14" s="1568">
        <f t="shared" si="1"/>
        <v>100</v>
      </c>
      <c r="V14" s="1567" t="s">
        <v>8</v>
      </c>
      <c r="W14" s="1568">
        <f t="shared" si="2"/>
        <v>100</v>
      </c>
      <c r="X14" s="1569"/>
      <c r="Y14" s="3305"/>
      <c r="Z14" s="1148">
        <f t="shared" si="7"/>
        <v>111</v>
      </c>
      <c r="AA14" s="1570">
        <f t="shared" si="3"/>
        <v>1</v>
      </c>
      <c r="AB14" s="1570">
        <f t="shared" si="4"/>
        <v>1</v>
      </c>
      <c r="AC14" s="1570">
        <f t="shared" si="5"/>
        <v>1</v>
      </c>
    </row>
    <row r="15" spans="1:29" ht="15">
      <c r="A15" s="2910"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393" t="s">
        <v>540</v>
      </c>
      <c r="Q15" s="1571" t="str">
        <f t="shared" si="6"/>
        <v>商业繁华度</v>
      </c>
      <c r="R15" s="1572" t="s">
        <v>8</v>
      </c>
      <c r="S15" s="1573">
        <f t="shared" si="0"/>
        <v>100</v>
      </c>
      <c r="T15" s="1572" t="s">
        <v>8</v>
      </c>
      <c r="U15" s="1573">
        <f t="shared" si="1"/>
        <v>100</v>
      </c>
      <c r="V15" s="1572" t="s">
        <v>8</v>
      </c>
      <c r="W15" s="1573">
        <f t="shared" si="2"/>
        <v>100</v>
      </c>
      <c r="X15" s="1566"/>
      <c r="Y15" s="3393"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4"/>
      <c r="Q16" s="1571"/>
      <c r="R16" s="1572"/>
      <c r="S16" s="1573"/>
      <c r="T16" s="1572"/>
      <c r="U16" s="1573"/>
      <c r="V16" s="1572"/>
      <c r="W16" s="1573"/>
      <c r="X16" s="1566"/>
      <c r="Y16" s="3394"/>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4"/>
      <c r="Q18" s="1571"/>
      <c r="R18" s="1572"/>
      <c r="S18" s="1573"/>
      <c r="T18" s="1572"/>
      <c r="U18" s="1573"/>
      <c r="V18" s="1572"/>
      <c r="W18" s="1573"/>
      <c r="X18" s="1566"/>
      <c r="Y18" s="3394"/>
      <c r="Z18" s="1574"/>
      <c r="AA18" s="1575">
        <v>1</v>
      </c>
      <c r="AB18" s="1575">
        <v>1</v>
      </c>
      <c r="AC18" s="1575">
        <v>1</v>
      </c>
    </row>
    <row r="19" spans="1:29" ht="15">
      <c r="A19" s="530"/>
      <c r="B19" s="2600"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394"/>
      <c r="Q20" s="1571"/>
      <c r="R20" s="1572"/>
      <c r="S20" s="1573"/>
      <c r="T20" s="1572"/>
      <c r="U20" s="1573"/>
      <c r="V20" s="1572"/>
      <c r="W20" s="1573"/>
      <c r="X20" s="1566"/>
      <c r="Y20" s="3394"/>
      <c r="Z20" s="1574"/>
      <c r="AA20" s="1575">
        <v>1</v>
      </c>
      <c r="AB20" s="1575">
        <v>1</v>
      </c>
      <c r="AC20" s="1575">
        <v>1</v>
      </c>
    </row>
    <row r="21" spans="1:29" ht="15">
      <c r="A21" s="530"/>
      <c r="B21" s="2593"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394"/>
      <c r="Q21" s="2579" t="str">
        <f>B21</f>
        <v>基础设施水平</v>
      </c>
      <c r="R21" s="1572" t="s">
        <v>8</v>
      </c>
      <c r="S21" s="1573">
        <f>F21</f>
        <v>100</v>
      </c>
      <c r="T21" s="1572" t="s">
        <v>8</v>
      </c>
      <c r="U21" s="1573">
        <f>H21</f>
        <v>100</v>
      </c>
      <c r="V21" s="1572" t="s">
        <v>8</v>
      </c>
      <c r="W21" s="1573">
        <f>J21</f>
        <v>100</v>
      </c>
      <c r="X21" s="2581"/>
      <c r="Y21" s="3394"/>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2"/>
      <c r="L22" s="2142"/>
      <c r="M22" s="2134"/>
      <c r="N22" s="2134"/>
      <c r="O22" s="2141"/>
      <c r="P22" s="3394"/>
      <c r="Q22" s="2579"/>
      <c r="R22" s="1572"/>
      <c r="S22" s="1573"/>
      <c r="T22" s="1572"/>
      <c r="U22" s="1573"/>
      <c r="V22" s="1572"/>
      <c r="W22" s="1573"/>
      <c r="X22" s="2581"/>
      <c r="Y22" s="3394"/>
      <c r="Z22" s="2580"/>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394"/>
      <c r="Q23" s="1571" t="str">
        <f>B23</f>
        <v>自然及人文环境</v>
      </c>
      <c r="R23" s="1572" t="s">
        <v>8</v>
      </c>
      <c r="S23" s="1573">
        <f>F23</f>
        <v>100</v>
      </c>
      <c r="T23" s="1572" t="s">
        <v>8</v>
      </c>
      <c r="U23" s="1573">
        <f>H23</f>
        <v>100</v>
      </c>
      <c r="V23" s="1572" t="s">
        <v>8</v>
      </c>
      <c r="W23" s="1573">
        <f>J23</f>
        <v>100</v>
      </c>
      <c r="X23" s="1566"/>
      <c r="Y23" s="3394"/>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394"/>
      <c r="Q25" s="1571" t="str">
        <f t="shared" ref="Q25:Q46" si="11">B25</f>
        <v>临街状况</v>
      </c>
      <c r="R25" s="1572" t="s">
        <v>8</v>
      </c>
      <c r="S25" s="1573">
        <f>F25</f>
        <v>100</v>
      </c>
      <c r="T25" s="1572" t="s">
        <v>8</v>
      </c>
      <c r="U25" s="1573">
        <f>H25</f>
        <v>100</v>
      </c>
      <c r="V25" s="1572" t="s">
        <v>8</v>
      </c>
      <c r="W25" s="1573">
        <f>J25</f>
        <v>100</v>
      </c>
      <c r="X25" s="1566"/>
      <c r="Y25" s="3394"/>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394"/>
      <c r="Q26" s="1571" t="str">
        <f t="shared" si="11"/>
        <v>平面位置/可视性</v>
      </c>
      <c r="R26" s="1572" t="s">
        <v>8</v>
      </c>
      <c r="S26" s="1573">
        <f>F26</f>
        <v>100</v>
      </c>
      <c r="T26" s="1572" t="s">
        <v>8</v>
      </c>
      <c r="U26" s="1573">
        <f>H26</f>
        <v>100</v>
      </c>
      <c r="V26" s="1572" t="s">
        <v>8</v>
      </c>
      <c r="W26" s="1573">
        <f>J26</f>
        <v>100</v>
      </c>
      <c r="X26" s="1566"/>
      <c r="Y26" s="3394"/>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394"/>
      <c r="Q27" s="1149" t="str">
        <f t="shared" si="11"/>
        <v>人流量</v>
      </c>
      <c r="R27" s="1567" t="s">
        <v>8</v>
      </c>
      <c r="S27" s="1568">
        <f>F27</f>
        <v>100</v>
      </c>
      <c r="T27" s="1567" t="s">
        <v>8</v>
      </c>
      <c r="U27" s="1568">
        <f>H27</f>
        <v>100</v>
      </c>
      <c r="V27" s="1567" t="s">
        <v>8</v>
      </c>
      <c r="W27" s="1568">
        <f>J27</f>
        <v>100</v>
      </c>
      <c r="X27" s="1569"/>
      <c r="Y27" s="3394"/>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39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4"/>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394"/>
      <c r="Q29" s="1571">
        <f t="shared" si="11"/>
        <v>111</v>
      </c>
      <c r="R29" s="1572" t="s">
        <v>8</v>
      </c>
      <c r="S29" s="1573">
        <f t="shared" si="12"/>
        <v>100</v>
      </c>
      <c r="T29" s="1572" t="s">
        <v>8</v>
      </c>
      <c r="U29" s="1573">
        <f t="shared" si="13"/>
        <v>100</v>
      </c>
      <c r="V29" s="1572" t="s">
        <v>8</v>
      </c>
      <c r="W29" s="1573">
        <f t="shared" si="14"/>
        <v>100</v>
      </c>
      <c r="X29" s="1566"/>
      <c r="Y29" s="3394"/>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394"/>
      <c r="Q30" s="1571">
        <f t="shared" si="11"/>
        <v>111</v>
      </c>
      <c r="R30" s="1572" t="s">
        <v>8</v>
      </c>
      <c r="S30" s="1573">
        <f t="shared" si="12"/>
        <v>100</v>
      </c>
      <c r="T30" s="1572" t="s">
        <v>8</v>
      </c>
      <c r="U30" s="1573">
        <f t="shared" si="13"/>
        <v>100</v>
      </c>
      <c r="V30" s="1572" t="s">
        <v>8</v>
      </c>
      <c r="W30" s="1573">
        <f t="shared" si="14"/>
        <v>100</v>
      </c>
      <c r="X30" s="1566"/>
      <c r="Y30" s="3394"/>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
      <c r="A32" s="2907"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395" t="s">
        <v>550</v>
      </c>
      <c r="Q32" s="1571" t="str">
        <f t="shared" si="11"/>
        <v>商业类型</v>
      </c>
      <c r="R32" s="1572" t="s">
        <v>8</v>
      </c>
      <c r="S32" s="1573">
        <f t="shared" si="12"/>
        <v>100</v>
      </c>
      <c r="T32" s="1572" t="s">
        <v>8</v>
      </c>
      <c r="U32" s="1573">
        <f t="shared" si="13"/>
        <v>100</v>
      </c>
      <c r="V32" s="1572" t="s">
        <v>8</v>
      </c>
      <c r="W32" s="1573">
        <f t="shared" si="14"/>
        <v>100</v>
      </c>
      <c r="X32" s="1566"/>
      <c r="Y32" s="3396"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396"/>
      <c r="Q33" s="1604" t="str">
        <f t="shared" si="11"/>
        <v>项目建筑规模</v>
      </c>
      <c r="R33" s="1576" t="s">
        <v>8</v>
      </c>
      <c r="S33" s="1577" t="e">
        <f t="shared" si="12"/>
        <v>#N/A</v>
      </c>
      <c r="T33" s="1576" t="s">
        <v>8</v>
      </c>
      <c r="U33" s="1577" t="e">
        <f t="shared" si="13"/>
        <v>#N/A</v>
      </c>
      <c r="V33" s="1576" t="s">
        <v>8</v>
      </c>
      <c r="W33" s="1577" t="e">
        <f t="shared" si="14"/>
        <v>#N/A</v>
      </c>
      <c r="X33" s="1578"/>
      <c r="Y33" s="3396"/>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396"/>
      <c r="Q34" s="1571" t="str">
        <f t="shared" si="11"/>
        <v>建筑结构</v>
      </c>
      <c r="R34" s="1572" t="s">
        <v>8</v>
      </c>
      <c r="S34" s="1573">
        <f t="shared" si="12"/>
        <v>100</v>
      </c>
      <c r="T34" s="1572" t="s">
        <v>8</v>
      </c>
      <c r="U34" s="1573">
        <f t="shared" si="13"/>
        <v>100</v>
      </c>
      <c r="V34" s="1572" t="s">
        <v>8</v>
      </c>
      <c r="W34" s="1573">
        <f t="shared" si="14"/>
        <v>100</v>
      </c>
      <c r="X34" s="1566"/>
      <c r="Y34" s="3396"/>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396"/>
      <c r="Q35" s="1571" t="str">
        <f t="shared" si="11"/>
        <v>公共部分装修</v>
      </c>
      <c r="R35" s="1572" t="s">
        <v>8</v>
      </c>
      <c r="S35" s="1573">
        <f t="shared" si="12"/>
        <v>100</v>
      </c>
      <c r="T35" s="1572" t="s">
        <v>8</v>
      </c>
      <c r="U35" s="1573">
        <f t="shared" si="13"/>
        <v>100</v>
      </c>
      <c r="V35" s="1572" t="s">
        <v>8</v>
      </c>
      <c r="W35" s="1573">
        <f t="shared" si="14"/>
        <v>100</v>
      </c>
      <c r="X35" s="1566"/>
      <c r="Y35" s="3396"/>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396"/>
      <c r="Q36" s="1571" t="str">
        <f t="shared" si="11"/>
        <v>成新度</v>
      </c>
      <c r="R36" s="1572" t="s">
        <v>8</v>
      </c>
      <c r="S36" s="1573" t="e">
        <f t="shared" si="12"/>
        <v>#N/A</v>
      </c>
      <c r="T36" s="1572" t="s">
        <v>8</v>
      </c>
      <c r="U36" s="1573" t="e">
        <f t="shared" si="13"/>
        <v>#N/A</v>
      </c>
      <c r="V36" s="1572" t="s">
        <v>8</v>
      </c>
      <c r="W36" s="1573" t="e">
        <f t="shared" si="14"/>
        <v>#N/A</v>
      </c>
      <c r="X36" s="1566"/>
      <c r="Y36" s="3396"/>
      <c r="Z36" s="1574" t="str">
        <f t="shared" si="15"/>
        <v>成新度</v>
      </c>
      <c r="AA36" s="1575" t="e">
        <f t="shared" si="3"/>
        <v>#N/A</v>
      </c>
      <c r="AB36" s="1575" t="e">
        <f t="shared" si="4"/>
        <v>#N/A</v>
      </c>
      <c r="AC36" s="1575" t="e">
        <f t="shared" si="5"/>
        <v>#N/A</v>
      </c>
    </row>
    <row r="37" spans="1:29" s="1218" customFormat="1" ht="15">
      <c r="A37" s="598"/>
      <c r="B37" s="1895"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396"/>
      <c r="Q37" s="1149" t="str">
        <f t="shared" si="11"/>
        <v>市政基础设施</v>
      </c>
      <c r="R37" s="1567" t="s">
        <v>8</v>
      </c>
      <c r="S37" s="1568">
        <f t="shared" si="12"/>
        <v>100</v>
      </c>
      <c r="T37" s="1567" t="s">
        <v>8</v>
      </c>
      <c r="U37" s="1568">
        <f t="shared" si="13"/>
        <v>100</v>
      </c>
      <c r="V37" s="1567" t="s">
        <v>8</v>
      </c>
      <c r="W37" s="1568">
        <f t="shared" si="14"/>
        <v>100</v>
      </c>
      <c r="X37" s="1569"/>
      <c r="Y37" s="3396"/>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396" t="s">
        <v>766</v>
      </c>
      <c r="Q38" s="1571" t="str">
        <f t="shared" si="11"/>
        <v>业态</v>
      </c>
      <c r="R38" s="1572" t="s">
        <v>8</v>
      </c>
      <c r="S38" s="1573">
        <f t="shared" si="12"/>
        <v>100</v>
      </c>
      <c r="T38" s="1572" t="s">
        <v>8</v>
      </c>
      <c r="U38" s="1573">
        <f t="shared" si="13"/>
        <v>100</v>
      </c>
      <c r="V38" s="1572" t="s">
        <v>8</v>
      </c>
      <c r="W38" s="1573">
        <f t="shared" si="14"/>
        <v>100</v>
      </c>
      <c r="X38" s="1566"/>
      <c r="Y38" s="3396"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6"/>
      <c r="Q39" s="1571" t="str">
        <f t="shared" si="11"/>
        <v>层高</v>
      </c>
      <c r="R39" s="1572" t="s">
        <v>8</v>
      </c>
      <c r="S39" s="1573">
        <f t="shared" si="12"/>
        <v>100</v>
      </c>
      <c r="T39" s="1572" t="s">
        <v>8</v>
      </c>
      <c r="U39" s="1573">
        <f t="shared" si="13"/>
        <v>100</v>
      </c>
      <c r="V39" s="1572" t="s">
        <v>8</v>
      </c>
      <c r="W39" s="1573">
        <f t="shared" si="14"/>
        <v>100</v>
      </c>
      <c r="X39" s="1566"/>
      <c r="Y39" s="3396"/>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396"/>
      <c r="Q40" s="1571" t="str">
        <f t="shared" si="11"/>
        <v>单套建筑面积</v>
      </c>
      <c r="R40" s="1572" t="s">
        <v>8</v>
      </c>
      <c r="S40" s="1573">
        <f t="shared" si="12"/>
        <v>100</v>
      </c>
      <c r="T40" s="1572" t="s">
        <v>8</v>
      </c>
      <c r="U40" s="1573">
        <f t="shared" si="13"/>
        <v>100</v>
      </c>
      <c r="V40" s="1572" t="s">
        <v>8</v>
      </c>
      <c r="W40" s="1573">
        <f t="shared" si="14"/>
        <v>100</v>
      </c>
      <c r="X40" s="1566"/>
      <c r="Y40" s="3396"/>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396"/>
      <c r="Q41" s="1604" t="str">
        <f t="shared" si="11"/>
        <v>进深比</v>
      </c>
      <c r="R41" s="1576" t="s">
        <v>8</v>
      </c>
      <c r="S41" s="1577">
        <f t="shared" si="12"/>
        <v>100</v>
      </c>
      <c r="T41" s="1576" t="s">
        <v>8</v>
      </c>
      <c r="U41" s="1577">
        <f t="shared" si="13"/>
        <v>100</v>
      </c>
      <c r="V41" s="1576" t="s">
        <v>8</v>
      </c>
      <c r="W41" s="1577">
        <f t="shared" si="14"/>
        <v>100</v>
      </c>
      <c r="X41" s="1578"/>
      <c r="Y41" s="3396"/>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396"/>
      <c r="Q42" s="1571" t="str">
        <f t="shared" si="11"/>
        <v>内部装修</v>
      </c>
      <c r="R42" s="1572" t="s">
        <v>8</v>
      </c>
      <c r="S42" s="1573">
        <f t="shared" si="12"/>
        <v>100</v>
      </c>
      <c r="T42" s="1572" t="s">
        <v>8</v>
      </c>
      <c r="U42" s="1573">
        <f t="shared" si="13"/>
        <v>100</v>
      </c>
      <c r="V42" s="1572" t="s">
        <v>8</v>
      </c>
      <c r="W42" s="1573">
        <f t="shared" si="14"/>
        <v>100</v>
      </c>
      <c r="X42" s="1566"/>
      <c r="Y42" s="3396"/>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396"/>
      <c r="Q43" s="1571" t="str">
        <f t="shared" si="11"/>
        <v>内部装修维护情况</v>
      </c>
      <c r="R43" s="1572" t="s">
        <v>8</v>
      </c>
      <c r="S43" s="1573">
        <f t="shared" si="12"/>
        <v>100</v>
      </c>
      <c r="T43" s="1572" t="s">
        <v>8</v>
      </c>
      <c r="U43" s="1573">
        <f t="shared" si="13"/>
        <v>100</v>
      </c>
      <c r="V43" s="1572" t="s">
        <v>8</v>
      </c>
      <c r="W43" s="1573">
        <f t="shared" si="14"/>
        <v>100</v>
      </c>
      <c r="X43" s="1566"/>
      <c r="Y43" s="3396"/>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396"/>
      <c r="Q44" s="1149">
        <f t="shared" si="11"/>
        <v>111</v>
      </c>
      <c r="R44" s="1567" t="s">
        <v>8</v>
      </c>
      <c r="S44" s="1568">
        <f t="shared" si="12"/>
        <v>100</v>
      </c>
      <c r="T44" s="1567" t="s">
        <v>8</v>
      </c>
      <c r="U44" s="1568">
        <f t="shared" si="13"/>
        <v>100</v>
      </c>
      <c r="V44" s="1567" t="s">
        <v>8</v>
      </c>
      <c r="W44" s="1568">
        <f t="shared" si="14"/>
        <v>100</v>
      </c>
      <c r="X44" s="1569"/>
      <c r="Y44" s="3396"/>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396"/>
      <c r="Q45" s="1571">
        <f t="shared" si="11"/>
        <v>111</v>
      </c>
      <c r="R45" s="1572" t="s">
        <v>8</v>
      </c>
      <c r="S45" s="1573">
        <f t="shared" si="12"/>
        <v>100</v>
      </c>
      <c r="T45" s="1572" t="s">
        <v>8</v>
      </c>
      <c r="U45" s="1573">
        <f t="shared" si="13"/>
        <v>100</v>
      </c>
      <c r="V45" s="1572" t="s">
        <v>8</v>
      </c>
      <c r="W45" s="1573">
        <f t="shared" si="14"/>
        <v>100</v>
      </c>
      <c r="X45" s="1566"/>
      <c r="Y45" s="3396"/>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450"/>
      <c r="Q46" s="1571">
        <f t="shared" si="11"/>
        <v>111</v>
      </c>
      <c r="R46" s="1572" t="s">
        <v>8</v>
      </c>
      <c r="S46" s="1573">
        <f t="shared" si="12"/>
        <v>100</v>
      </c>
      <c r="T46" s="1572" t="s">
        <v>8</v>
      </c>
      <c r="U46" s="1573">
        <f t="shared" si="13"/>
        <v>100</v>
      </c>
      <c r="V46" s="1572" t="s">
        <v>8</v>
      </c>
      <c r="W46" s="1573">
        <f t="shared" si="14"/>
        <v>100</v>
      </c>
      <c r="X46" s="1566"/>
      <c r="Y46" s="3450"/>
      <c r="Z46" s="1574">
        <f t="shared" si="15"/>
        <v>111</v>
      </c>
      <c r="AA46" s="1575">
        <f t="shared" si="3"/>
        <v>1</v>
      </c>
      <c r="AB46" s="1575">
        <f t="shared" si="4"/>
        <v>1</v>
      </c>
      <c r="AC46" s="1575">
        <f t="shared" si="5"/>
        <v>1</v>
      </c>
    </row>
    <row r="47" spans="1:29" ht="15">
      <c r="A47" s="605" t="s">
        <v>736</v>
      </c>
      <c r="B47" s="885"/>
      <c r="C47" s="2627" t="s">
        <v>1</v>
      </c>
      <c r="D47" s="2628"/>
      <c r="E47" s="2629"/>
      <c r="F47" s="2630"/>
      <c r="G47" s="2631"/>
      <c r="H47" s="2632"/>
      <c r="I47" s="2629"/>
      <c r="J47" s="2632"/>
      <c r="K47" s="1610"/>
      <c r="L47" s="2144"/>
      <c r="M47" s="2145"/>
      <c r="N47" s="2134"/>
      <c r="O47" s="2145"/>
      <c r="P47" s="3359" t="str">
        <f>A47</f>
        <v>成交单价（元/平方米）</v>
      </c>
      <c r="Q47" s="3359"/>
      <c r="R47" s="3449">
        <f>E47</f>
        <v>0</v>
      </c>
      <c r="S47" s="3449"/>
      <c r="T47" s="3449">
        <f>G47</f>
        <v>0</v>
      </c>
      <c r="U47" s="3449"/>
      <c r="V47" s="3449">
        <f>I47</f>
        <v>0</v>
      </c>
      <c r="W47" s="3449"/>
      <c r="X47" s="1558"/>
      <c r="Y47" s="1580"/>
      <c r="Z47" s="1558"/>
      <c r="AA47" s="1558"/>
      <c r="AB47" s="1558"/>
      <c r="AC47" s="1558"/>
    </row>
    <row r="48" spans="1:29" ht="15.75" thickBot="1">
      <c r="A48" s="613" t="s">
        <v>2757</v>
      </c>
      <c r="B48" s="886"/>
      <c r="C48" s="2633" t="e">
        <f>R49</f>
        <v>#DIV/0!</v>
      </c>
      <c r="D48" s="2634"/>
      <c r="E48" s="2635" t="e">
        <f>R48</f>
        <v>#DIV/0!</v>
      </c>
      <c r="F48" s="2635"/>
      <c r="G48" s="2633" t="e">
        <f>T48</f>
        <v>#DIV/0!</v>
      </c>
      <c r="H48" s="2634"/>
      <c r="I48" s="2635" t="e">
        <f>V48</f>
        <v>#DIV/0!</v>
      </c>
      <c r="J48" s="2634"/>
      <c r="K48" s="1611"/>
      <c r="L48" s="2144"/>
      <c r="M48" s="2145"/>
      <c r="N48" s="2134"/>
      <c r="O48" s="2145"/>
      <c r="P48" s="3359" t="str">
        <f>A48</f>
        <v>比较价格（元/平方米）</v>
      </c>
      <c r="Q48" s="3359"/>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58"/>
      <c r="Y48" s="1558"/>
      <c r="Z48" s="1558"/>
      <c r="AA48" s="1558"/>
      <c r="AB48" s="1558"/>
      <c r="AC48" s="1558"/>
    </row>
    <row r="49" spans="1:29" ht="15.75" thickBot="1">
      <c r="A49" s="619" t="s">
        <v>2921</v>
      </c>
      <c r="B49" s="620"/>
      <c r="C49" s="2636" t="e">
        <f>R49</f>
        <v>#DIV/0!</v>
      </c>
      <c r="D49" s="2636"/>
      <c r="E49" s="2636"/>
      <c r="F49" s="2636"/>
      <c r="G49" s="2636"/>
      <c r="H49" s="2636"/>
      <c r="I49" s="2636"/>
      <c r="J49" s="2636"/>
      <c r="K49" s="1612"/>
      <c r="L49" s="2144"/>
      <c r="M49" s="2145"/>
      <c r="N49" s="2134"/>
      <c r="O49" s="2145"/>
      <c r="P49" s="3356" t="str">
        <f>A49</f>
        <v>估价对象XX用房的比较价格（楼面单价，元/平方米）</v>
      </c>
      <c r="Q49" s="3357"/>
      <c r="R49" s="3448" t="e">
        <f>IF(F1="售价",ROUND(AVERAGE(R48:V48),0),ROUND(AVERAGE(R48:V48),1))</f>
        <v>#DIV/0!</v>
      </c>
      <c r="S49" s="3448"/>
      <c r="T49" s="3448"/>
      <c r="U49" s="3448"/>
      <c r="V49" s="3448"/>
      <c r="W49" s="344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2555</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2556</v>
      </c>
      <c r="C82" s="2598" t="s">
        <v>2557</v>
      </c>
      <c r="D82" s="2598" t="s">
        <v>2558</v>
      </c>
      <c r="E82" s="2598" t="s">
        <v>2559</v>
      </c>
      <c r="F82" s="2598" t="s">
        <v>2560</v>
      </c>
      <c r="G82" s="2598" t="s">
        <v>2561</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2554</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7"/>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365" t="s">
        <v>522</v>
      </c>
      <c r="D4" s="3366"/>
      <c r="E4" s="3399" t="s">
        <v>523</v>
      </c>
      <c r="F4" s="3400"/>
      <c r="G4" s="3365" t="s">
        <v>524</v>
      </c>
      <c r="H4" s="3366"/>
      <c r="I4" s="3365" t="s">
        <v>525</v>
      </c>
      <c r="J4" s="3366"/>
      <c r="K4" s="512" t="s">
        <v>526</v>
      </c>
      <c r="L4" s="2133"/>
      <c r="M4" s="2134"/>
      <c r="N4" s="2134"/>
      <c r="O4" s="2134"/>
      <c r="P4" s="3473" t="s">
        <v>527</v>
      </c>
      <c r="Q4" s="3368"/>
      <c r="R4" s="3373" t="s">
        <v>523</v>
      </c>
      <c r="S4" s="3374"/>
      <c r="T4" s="3373" t="s">
        <v>524</v>
      </c>
      <c r="U4" s="3374"/>
      <c r="V4" s="3360" t="s">
        <v>525</v>
      </c>
      <c r="W4" s="3360"/>
      <c r="X4" s="1566"/>
      <c r="Y4" s="3373" t="s">
        <v>527</v>
      </c>
      <c r="Z4" s="3374"/>
      <c r="AA4" s="3362" t="s">
        <v>523</v>
      </c>
      <c r="AB4" s="3362" t="s">
        <v>524</v>
      </c>
      <c r="AC4" s="3362" t="s">
        <v>525</v>
      </c>
    </row>
    <row r="5" spans="1:29" ht="15">
      <c r="A5" s="513"/>
      <c r="B5" s="514"/>
      <c r="C5" s="3381" t="s">
        <v>2915</v>
      </c>
      <c r="D5" s="3382"/>
      <c r="E5" s="3401" t="s">
        <v>2916</v>
      </c>
      <c r="F5" s="3402"/>
      <c r="G5" s="3381" t="s">
        <v>2917</v>
      </c>
      <c r="H5" s="3382"/>
      <c r="I5" s="3381" t="s">
        <v>2918</v>
      </c>
      <c r="J5" s="3382"/>
      <c r="K5" s="512"/>
      <c r="L5" s="2133"/>
      <c r="M5" s="2134"/>
      <c r="N5" s="2134"/>
      <c r="O5" s="2134"/>
      <c r="P5" s="3474"/>
      <c r="Q5" s="3370"/>
      <c r="R5" s="3375"/>
      <c r="S5" s="3376"/>
      <c r="T5" s="3375"/>
      <c r="U5" s="3376"/>
      <c r="V5" s="3360"/>
      <c r="W5" s="3360"/>
      <c r="X5" s="1566"/>
      <c r="Y5" s="3375"/>
      <c r="Z5" s="3376"/>
      <c r="AA5" s="3363"/>
      <c r="AB5" s="3363"/>
      <c r="AC5" s="3363"/>
    </row>
    <row r="6" spans="1:29" ht="15.75" thickBot="1">
      <c r="A6" s="515"/>
      <c r="B6" s="516"/>
      <c r="C6" s="3379" t="s">
        <v>2919</v>
      </c>
      <c r="D6" s="3380"/>
      <c r="E6" s="3397" t="s">
        <v>2919</v>
      </c>
      <c r="F6" s="3398"/>
      <c r="G6" s="3379" t="s">
        <v>2919</v>
      </c>
      <c r="H6" s="3380"/>
      <c r="I6" s="3379" t="s">
        <v>2919</v>
      </c>
      <c r="J6" s="3380"/>
      <c r="K6" s="512" t="s">
        <v>528</v>
      </c>
      <c r="L6" s="2133"/>
      <c r="M6" s="2134"/>
      <c r="N6" s="2134"/>
      <c r="O6" s="2134"/>
      <c r="P6" s="3475"/>
      <c r="Q6" s="3372"/>
      <c r="R6" s="3375"/>
      <c r="S6" s="3376"/>
      <c r="T6" s="3377"/>
      <c r="U6" s="3378"/>
      <c r="V6" s="3360"/>
      <c r="W6" s="3360"/>
      <c r="X6" s="1566"/>
      <c r="Y6" s="3377"/>
      <c r="Z6" s="3378"/>
      <c r="AA6" s="3364"/>
      <c r="AB6" s="3364"/>
      <c r="AC6" s="3364"/>
    </row>
    <row r="7" spans="1:29" s="1218" customFormat="1" ht="15.75" thickBot="1">
      <c r="A7" s="2912"/>
      <c r="B7" s="2919" t="s">
        <v>529</v>
      </c>
      <c r="C7" s="517">
        <f>'数据-取费表'!B2</f>
        <v>43384</v>
      </c>
      <c r="D7" s="518">
        <v>100</v>
      </c>
      <c r="E7" s="519"/>
      <c r="F7" s="520">
        <f>SUMIF(59:59,YEAR(E7)&amp;"-"&amp;MONTH(E7),60:60)</f>
        <v>0</v>
      </c>
      <c r="G7" s="519"/>
      <c r="H7" s="518">
        <f>SUMIF(59:59,YEAR(G7)&amp;"-"&amp;MONTH(G7),60:60)</f>
        <v>0</v>
      </c>
      <c r="I7" s="519"/>
      <c r="J7" s="518">
        <f>SUMIF(59:59,YEAR(I7)&amp;"-"&amp;MONTH(I7),60:60)</f>
        <v>0</v>
      </c>
      <c r="K7" s="522"/>
      <c r="L7" s="2135"/>
      <c r="M7" s="2136"/>
      <c r="N7" s="2136"/>
      <c r="O7" s="2136"/>
      <c r="P7" s="3392"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8" customFormat="1" ht="15.75" thickBot="1">
      <c r="A8" s="2913"/>
      <c r="B8" s="2920" t="s">
        <v>531</v>
      </c>
      <c r="C8" s="523" t="s">
        <v>576</v>
      </c>
      <c r="D8" s="518">
        <v>100</v>
      </c>
      <c r="E8" s="523"/>
      <c r="F8" s="520">
        <f>SUMIF(62:62,E8,63:63)-SUMIF(62:62,C8,63:63)+100</f>
        <v>0</v>
      </c>
      <c r="G8" s="523"/>
      <c r="H8" s="518">
        <f>SUMIF(62:62,G8,63:63)-SUMIF(62:62,C8,63:63)+100</f>
        <v>0</v>
      </c>
      <c r="I8" s="523"/>
      <c r="J8" s="518">
        <f>SUMIF(62:62,I8,63:63)-SUMIF(62:62,C8,63:63)+100</f>
        <v>0</v>
      </c>
      <c r="K8" s="522"/>
      <c r="L8" s="2135"/>
      <c r="M8" s="2136"/>
      <c r="N8" s="2136"/>
      <c r="O8" s="2136"/>
      <c r="P8" s="3392" t="s">
        <v>533</v>
      </c>
      <c r="Q8" s="3391"/>
      <c r="R8" s="1567" t="s">
        <v>8</v>
      </c>
      <c r="S8" s="1568">
        <f t="shared" si="0"/>
        <v>0</v>
      </c>
      <c r="T8" s="1567" t="s">
        <v>8</v>
      </c>
      <c r="U8" s="1568">
        <f t="shared" si="1"/>
        <v>0</v>
      </c>
      <c r="V8" s="1567" t="s">
        <v>8</v>
      </c>
      <c r="W8" s="1568">
        <f t="shared" si="2"/>
        <v>0</v>
      </c>
      <c r="X8" s="1569"/>
      <c r="Y8" s="3390" t="s">
        <v>533</v>
      </c>
      <c r="Z8" s="3391"/>
      <c r="AA8" s="1570" t="e">
        <f t="shared" ref="AA8:AA47" si="3">D8/F8</f>
        <v>#DIV/0!</v>
      </c>
      <c r="AB8" s="1570" t="e">
        <f t="shared" ref="AB8:AB47" si="4">D8/H8</f>
        <v>#DIV/0!</v>
      </c>
      <c r="AC8" s="1570" t="e">
        <f t="shared" ref="AC8:AC47" si="5">D8/J8</f>
        <v>#DIV/0!</v>
      </c>
    </row>
    <row r="9" spans="1:29" s="1218" customFormat="1" ht="15">
      <c r="A9" s="2914"/>
      <c r="B9" s="2921" t="s">
        <v>2753</v>
      </c>
      <c r="C9" s="855"/>
      <c r="D9" s="252">
        <v>100</v>
      </c>
      <c r="E9" s="858"/>
      <c r="F9" s="252">
        <f>SUMIF(64:64,E9,65:65)-SUMIF(64:64,C9,65:65)+100</f>
        <v>100</v>
      </c>
      <c r="G9" s="856"/>
      <c r="H9" s="252">
        <f>SUMIF(64:64,G9,65:65)-SUMIF(64:64,C9,65:65)+100</f>
        <v>100</v>
      </c>
      <c r="I9" s="856"/>
      <c r="J9" s="252">
        <f>SUMIF(64:64,I9,65:65)-SUMIF(64:64,C9,65:65)+100</f>
        <v>100</v>
      </c>
      <c r="K9" s="522"/>
      <c r="L9" s="2135"/>
      <c r="M9" s="2136"/>
      <c r="N9" s="2136"/>
      <c r="O9" s="2136"/>
      <c r="P9" s="3359" t="s">
        <v>535</v>
      </c>
      <c r="Q9" s="1149" t="str">
        <f t="shared" ref="Q9:Q15" si="6">B9</f>
        <v>用途</v>
      </c>
      <c r="R9" s="1567" t="s">
        <v>8</v>
      </c>
      <c r="S9" s="1568">
        <f t="shared" si="0"/>
        <v>100</v>
      </c>
      <c r="T9" s="1567" t="s">
        <v>8</v>
      </c>
      <c r="U9" s="1568">
        <f t="shared" si="1"/>
        <v>100</v>
      </c>
      <c r="V9" s="1567" t="s">
        <v>8</v>
      </c>
      <c r="W9" s="1568">
        <f t="shared" si="2"/>
        <v>100</v>
      </c>
      <c r="X9" s="1569"/>
      <c r="Y9" s="3305"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SUMIF(66:66,E10,67:67)-SUMIF(66:66,C10,67:67)+100</f>
        <v>100</v>
      </c>
      <c r="G10" s="860"/>
      <c r="H10" s="253">
        <f>SUMIF(66:66,G10,67:67)-SUMIF(66:66,C10,67:67)+100</f>
        <v>100</v>
      </c>
      <c r="I10" s="859"/>
      <c r="J10" s="253">
        <f>SUMIF(66:66,I10,67:67)-SUMIF(66:66,C10,67:67)+100</f>
        <v>100</v>
      </c>
      <c r="K10" s="582"/>
      <c r="L10" s="2138"/>
      <c r="M10" s="2178"/>
      <c r="N10" s="2178"/>
      <c r="O10" s="2178"/>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40"/>
      <c r="M11" s="2134"/>
      <c r="N11" s="2134"/>
      <c r="O11" s="2134"/>
      <c r="P11" s="3359"/>
      <c r="Q11" s="1149" t="str">
        <f t="shared" si="6"/>
        <v>容积率</v>
      </c>
      <c r="R11" s="1567" t="s">
        <v>8</v>
      </c>
      <c r="S11" s="1568" t="e">
        <f t="shared" si="0"/>
        <v>#N/A</v>
      </c>
      <c r="T11" s="1567" t="s">
        <v>8</v>
      </c>
      <c r="U11" s="1568" t="e">
        <f t="shared" si="1"/>
        <v>#N/A</v>
      </c>
      <c r="V11" s="1567" t="s">
        <v>8</v>
      </c>
      <c r="W11" s="1568" t="e">
        <f t="shared" si="2"/>
        <v>#N/A</v>
      </c>
      <c r="X11" s="1569"/>
      <c r="Y11" s="3305"/>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359"/>
      <c r="Q12" s="1149">
        <f t="shared" si="6"/>
        <v>111</v>
      </c>
      <c r="R12" s="1567" t="s">
        <v>8</v>
      </c>
      <c r="S12" s="1568">
        <f t="shared" si="0"/>
        <v>100</v>
      </c>
      <c r="T12" s="1567" t="s">
        <v>8</v>
      </c>
      <c r="U12" s="1568">
        <f t="shared" si="1"/>
        <v>100</v>
      </c>
      <c r="V12" s="1567" t="s">
        <v>8</v>
      </c>
      <c r="W12" s="1568">
        <f t="shared" si="2"/>
        <v>100</v>
      </c>
      <c r="X12" s="1569"/>
      <c r="Y12" s="3305"/>
      <c r="Z12" s="1148">
        <f t="shared" si="7"/>
        <v>111</v>
      </c>
      <c r="AA12" s="1570">
        <f>D12/F12</f>
        <v>1</v>
      </c>
      <c r="AB12" s="1570">
        <f>D12/H12</f>
        <v>1</v>
      </c>
      <c r="AC12" s="1570">
        <f>D12/J12</f>
        <v>1</v>
      </c>
    </row>
    <row r="13" spans="1:29" ht="15">
      <c r="A13" s="2917"/>
      <c r="B13" s="2923">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359"/>
      <c r="Q13" s="1149">
        <f t="shared" si="6"/>
        <v>111</v>
      </c>
      <c r="R13" s="1567" t="s">
        <v>8</v>
      </c>
      <c r="S13" s="1568">
        <f t="shared" si="0"/>
        <v>100</v>
      </c>
      <c r="T13" s="1567" t="s">
        <v>8</v>
      </c>
      <c r="U13" s="1568">
        <f t="shared" si="1"/>
        <v>100</v>
      </c>
      <c r="V13" s="1567" t="s">
        <v>8</v>
      </c>
      <c r="W13" s="1568">
        <f t="shared" si="2"/>
        <v>100</v>
      </c>
      <c r="X13" s="1569"/>
      <c r="Y13" s="3305"/>
      <c r="Z13" s="1148">
        <f t="shared" si="7"/>
        <v>111</v>
      </c>
      <c r="AA13" s="1570">
        <f t="shared" si="3"/>
        <v>1</v>
      </c>
      <c r="AB13" s="1570">
        <f t="shared" si="4"/>
        <v>1</v>
      </c>
      <c r="AC13" s="1570">
        <f t="shared" si="5"/>
        <v>1</v>
      </c>
    </row>
    <row r="14" spans="1:29" ht="15.75" thickBot="1">
      <c r="A14" s="2918"/>
      <c r="B14" s="2924">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359"/>
      <c r="Q14" s="1149">
        <f t="shared" si="6"/>
        <v>111</v>
      </c>
      <c r="R14" s="1567" t="s">
        <v>8</v>
      </c>
      <c r="S14" s="1568">
        <f t="shared" si="0"/>
        <v>100</v>
      </c>
      <c r="T14" s="1567" t="s">
        <v>8</v>
      </c>
      <c r="U14" s="1568">
        <f t="shared" si="1"/>
        <v>100</v>
      </c>
      <c r="V14" s="1567" t="s">
        <v>8</v>
      </c>
      <c r="W14" s="1568">
        <f t="shared" si="2"/>
        <v>100</v>
      </c>
      <c r="X14" s="1569"/>
      <c r="Y14" s="3305"/>
      <c r="Z14" s="1148">
        <f t="shared" si="7"/>
        <v>111</v>
      </c>
      <c r="AA14" s="1570">
        <f t="shared" si="3"/>
        <v>1</v>
      </c>
      <c r="AB14" s="1570">
        <f t="shared" si="4"/>
        <v>1</v>
      </c>
      <c r="AC14" s="1570">
        <f t="shared" si="5"/>
        <v>1</v>
      </c>
    </row>
    <row r="15" spans="1:29" ht="15">
      <c r="A15" s="2910"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2"/>
      <c r="M15" s="2134"/>
      <c r="N15" s="2134"/>
      <c r="O15" s="2134"/>
      <c r="P15" s="3393" t="s">
        <v>540</v>
      </c>
      <c r="Q15" s="1571" t="str">
        <f t="shared" si="6"/>
        <v>办公集聚程度</v>
      </c>
      <c r="R15" s="1572" t="s">
        <v>8</v>
      </c>
      <c r="S15" s="1573">
        <f t="shared" si="0"/>
        <v>100</v>
      </c>
      <c r="T15" s="1572" t="s">
        <v>8</v>
      </c>
      <c r="U15" s="1573">
        <f t="shared" si="1"/>
        <v>100</v>
      </c>
      <c r="V15" s="1572" t="s">
        <v>8</v>
      </c>
      <c r="W15" s="1573">
        <f t="shared" si="2"/>
        <v>100</v>
      </c>
      <c r="X15" s="1566"/>
      <c r="Y15" s="3393"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2"/>
      <c r="M16" s="2134"/>
      <c r="N16" s="2134"/>
      <c r="O16" s="2134"/>
      <c r="P16" s="3394"/>
      <c r="Q16" s="1571"/>
      <c r="R16" s="1572"/>
      <c r="S16" s="1573"/>
      <c r="T16" s="1572"/>
      <c r="U16" s="1573"/>
      <c r="V16" s="1572"/>
      <c r="W16" s="1573"/>
      <c r="X16" s="1566"/>
      <c r="Y16" s="3394"/>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2"/>
      <c r="M17" s="2134"/>
      <c r="N17" s="2134"/>
      <c r="O17" s="2134"/>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2"/>
      <c r="M18" s="2134"/>
      <c r="N18" s="2134"/>
      <c r="O18" s="2134"/>
      <c r="P18" s="3394"/>
      <c r="Q18" s="1571"/>
      <c r="R18" s="1572"/>
      <c r="S18" s="1573"/>
      <c r="T18" s="1572"/>
      <c r="U18" s="1573"/>
      <c r="V18" s="1572"/>
      <c r="W18" s="1573"/>
      <c r="X18" s="1566"/>
      <c r="Y18" s="3394"/>
      <c r="Z18" s="1574"/>
      <c r="AA18" s="1575">
        <v>1</v>
      </c>
      <c r="AB18" s="1575">
        <v>1</v>
      </c>
      <c r="AC18" s="1575">
        <v>1</v>
      </c>
    </row>
    <row r="19" spans="1:29" ht="15">
      <c r="A19" s="530"/>
      <c r="B19" s="2603" t="s">
        <v>2544</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2"/>
      <c r="M19" s="2134"/>
      <c r="N19" s="2134"/>
      <c r="O19" s="2134"/>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2"/>
      <c r="M20" s="2134"/>
      <c r="N20" s="2134"/>
      <c r="O20" s="2134"/>
      <c r="P20" s="3394"/>
      <c r="Q20" s="1571"/>
      <c r="R20" s="1572"/>
      <c r="S20" s="1573"/>
      <c r="T20" s="1572"/>
      <c r="U20" s="1573"/>
      <c r="V20" s="1572"/>
      <c r="W20" s="1573"/>
      <c r="X20" s="1566"/>
      <c r="Y20" s="3394"/>
      <c r="Z20" s="1574"/>
      <c r="AA20" s="1575">
        <v>1</v>
      </c>
      <c r="AB20" s="1575">
        <v>1</v>
      </c>
      <c r="AC20" s="1575">
        <v>1</v>
      </c>
    </row>
    <row r="21" spans="1:29" ht="15">
      <c r="A21" s="530"/>
      <c r="B21" s="2591" t="s">
        <v>2556</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2"/>
      <c r="M21" s="2134"/>
      <c r="N21" s="2134"/>
      <c r="O21" s="2134"/>
      <c r="P21" s="3394"/>
      <c r="Q21" s="2579" t="str">
        <f>B21</f>
        <v>基础设施水平</v>
      </c>
      <c r="R21" s="1572" t="s">
        <v>8</v>
      </c>
      <c r="S21" s="1573">
        <f>F21</f>
        <v>100</v>
      </c>
      <c r="T21" s="1572" t="s">
        <v>8</v>
      </c>
      <c r="U21" s="1573">
        <f>H21</f>
        <v>100</v>
      </c>
      <c r="V21" s="1572" t="s">
        <v>8</v>
      </c>
      <c r="W21" s="1573">
        <f>J21</f>
        <v>100</v>
      </c>
      <c r="X21" s="2581"/>
      <c r="Y21" s="3394"/>
      <c r="Z21" s="2580"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02"/>
      <c r="L22" s="2142"/>
      <c r="M22" s="2134"/>
      <c r="N22" s="2134"/>
      <c r="O22" s="2134"/>
      <c r="P22" s="3394"/>
      <c r="Q22" s="2579"/>
      <c r="R22" s="1572"/>
      <c r="S22" s="1573"/>
      <c r="T22" s="1572"/>
      <c r="U22" s="1573"/>
      <c r="V22" s="1572"/>
      <c r="W22" s="1573"/>
      <c r="X22" s="2581"/>
      <c r="Y22" s="3394"/>
      <c r="Z22" s="2580"/>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2"/>
      <c r="M23" s="2134"/>
      <c r="N23" s="2134"/>
      <c r="O23" s="2134"/>
      <c r="P23" s="3394"/>
      <c r="Q23" s="1571" t="str">
        <f>B23</f>
        <v>环境质量</v>
      </c>
      <c r="R23" s="1572" t="s">
        <v>8</v>
      </c>
      <c r="S23" s="1573">
        <f>F23</f>
        <v>100</v>
      </c>
      <c r="T23" s="1572" t="s">
        <v>8</v>
      </c>
      <c r="U23" s="1573">
        <f>H23</f>
        <v>100</v>
      </c>
      <c r="V23" s="1572" t="s">
        <v>8</v>
      </c>
      <c r="W23" s="1573">
        <f>J23</f>
        <v>100</v>
      </c>
      <c r="X23" s="1566"/>
      <c r="Y23" s="3394"/>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2"/>
      <c r="M24" s="2134"/>
      <c r="N24" s="2134"/>
      <c r="O24" s="2134"/>
      <c r="P24" s="3394"/>
      <c r="Q24" s="1571"/>
      <c r="R24" s="1572"/>
      <c r="S24" s="1573"/>
      <c r="T24" s="1572"/>
      <c r="U24" s="1573"/>
      <c r="V24" s="1572"/>
      <c r="W24" s="1573"/>
      <c r="X24" s="1566"/>
      <c r="Y24" s="3394"/>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2"/>
      <c r="M25" s="2134"/>
      <c r="N25" s="2134"/>
      <c r="O25" s="2134"/>
      <c r="P25" s="3394"/>
      <c r="Q25" s="1571" t="str">
        <f>B25</f>
        <v>毗邻道路的类型与等级</v>
      </c>
      <c r="R25" s="1572" t="s">
        <v>8</v>
      </c>
      <c r="S25" s="1573">
        <f>F25</f>
        <v>100</v>
      </c>
      <c r="T25" s="1572" t="s">
        <v>8</v>
      </c>
      <c r="U25" s="1573">
        <f>H25</f>
        <v>100</v>
      </c>
      <c r="V25" s="1572" t="s">
        <v>8</v>
      </c>
      <c r="W25" s="1573">
        <f>J25</f>
        <v>100</v>
      </c>
      <c r="X25" s="1566"/>
      <c r="Y25" s="3394"/>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2"/>
      <c r="M26" s="2134"/>
      <c r="N26" s="2134"/>
      <c r="O26" s="2134"/>
      <c r="P26" s="3394"/>
      <c r="Q26" s="1571"/>
      <c r="R26" s="1572"/>
      <c r="S26" s="1573"/>
      <c r="T26" s="1572"/>
      <c r="U26" s="1573"/>
      <c r="V26" s="1572"/>
      <c r="W26" s="1573"/>
      <c r="X26" s="1566"/>
      <c r="Y26" s="3394"/>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394"/>
      <c r="Q27" s="1571" t="str">
        <f t="shared" ref="Q27:Q47" si="11">B27</f>
        <v>楼层</v>
      </c>
      <c r="R27" s="1572" t="s">
        <v>8</v>
      </c>
      <c r="S27" s="1573">
        <f>F27</f>
        <v>100</v>
      </c>
      <c r="T27" s="1572" t="s">
        <v>8</v>
      </c>
      <c r="U27" s="1573">
        <f>H27</f>
        <v>100</v>
      </c>
      <c r="V27" s="1572" t="s">
        <v>8</v>
      </c>
      <c r="W27" s="1573">
        <f>J27</f>
        <v>100</v>
      </c>
      <c r="X27" s="1566"/>
      <c r="Y27" s="3394"/>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394"/>
      <c r="Q28" s="1149" t="str">
        <f t="shared" si="11"/>
        <v>朝向</v>
      </c>
      <c r="R28" s="1567" t="s">
        <v>8</v>
      </c>
      <c r="S28" s="1568">
        <f>F28</f>
        <v>100</v>
      </c>
      <c r="T28" s="1567" t="s">
        <v>8</v>
      </c>
      <c r="U28" s="1568">
        <f>H28</f>
        <v>100</v>
      </c>
      <c r="V28" s="1567" t="s">
        <v>8</v>
      </c>
      <c r="W28" s="1568">
        <f>J28</f>
        <v>100</v>
      </c>
      <c r="X28" s="1569"/>
      <c r="Y28" s="3394"/>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2"/>
      <c r="M29" s="2134"/>
      <c r="N29" s="2134"/>
      <c r="O29" s="2134"/>
      <c r="P29" s="3394"/>
      <c r="Q29" s="1571">
        <f t="shared" si="11"/>
        <v>111</v>
      </c>
      <c r="R29" s="1572" t="s">
        <v>8</v>
      </c>
      <c r="S29" s="1573">
        <f t="shared" ref="S29:S47" si="12">F29</f>
        <v>100</v>
      </c>
      <c r="T29" s="1572" t="s">
        <v>8</v>
      </c>
      <c r="U29" s="1573">
        <f t="shared" ref="U29:U47" si="13">H29</f>
        <v>100</v>
      </c>
      <c r="V29" s="1572" t="s">
        <v>8</v>
      </c>
      <c r="W29" s="1573">
        <f t="shared" ref="W29:W47" si="14">J29</f>
        <v>100</v>
      </c>
      <c r="X29" s="1566"/>
      <c r="Y29" s="3394"/>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394"/>
      <c r="Q30" s="1571">
        <f t="shared" si="11"/>
        <v>111</v>
      </c>
      <c r="R30" s="1572" t="s">
        <v>8</v>
      </c>
      <c r="S30" s="1573">
        <f t="shared" si="12"/>
        <v>100</v>
      </c>
      <c r="T30" s="1572" t="s">
        <v>8</v>
      </c>
      <c r="U30" s="1573">
        <f t="shared" si="13"/>
        <v>100</v>
      </c>
      <c r="V30" s="1572" t="s">
        <v>8</v>
      </c>
      <c r="W30" s="1573">
        <f t="shared" si="14"/>
        <v>100</v>
      </c>
      <c r="X30" s="1566"/>
      <c r="Y30" s="3394"/>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394"/>
      <c r="Q32" s="1571">
        <f t="shared" si="11"/>
        <v>111</v>
      </c>
      <c r="R32" s="1572" t="s">
        <v>8</v>
      </c>
      <c r="S32" s="1573">
        <f t="shared" si="12"/>
        <v>100</v>
      </c>
      <c r="T32" s="1572" t="s">
        <v>8</v>
      </c>
      <c r="U32" s="1573">
        <f t="shared" si="13"/>
        <v>100</v>
      </c>
      <c r="V32" s="1572" t="s">
        <v>8</v>
      </c>
      <c r="W32" s="1573">
        <f t="shared" si="14"/>
        <v>100</v>
      </c>
      <c r="X32" s="1566"/>
      <c r="Y32" s="3394"/>
      <c r="Z32" s="1574">
        <f t="shared" si="15"/>
        <v>111</v>
      </c>
      <c r="AA32" s="1575">
        <f t="shared" si="3"/>
        <v>1</v>
      </c>
      <c r="AB32" s="1575">
        <f t="shared" si="4"/>
        <v>1</v>
      </c>
      <c r="AC32" s="1575">
        <f t="shared" si="5"/>
        <v>1</v>
      </c>
    </row>
    <row r="33" spans="1:29" ht="15">
      <c r="A33" s="2907"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2"/>
      <c r="M33" s="2134"/>
      <c r="N33" s="2134"/>
      <c r="O33" s="2134"/>
      <c r="P33" s="3395" t="s">
        <v>550</v>
      </c>
      <c r="Q33" s="1571" t="str">
        <f t="shared" si="11"/>
        <v>建筑类型</v>
      </c>
      <c r="R33" s="1572" t="s">
        <v>8</v>
      </c>
      <c r="S33" s="1573">
        <f t="shared" si="12"/>
        <v>100</v>
      </c>
      <c r="T33" s="1572" t="s">
        <v>8</v>
      </c>
      <c r="U33" s="1573">
        <f t="shared" si="13"/>
        <v>100</v>
      </c>
      <c r="V33" s="1572" t="s">
        <v>8</v>
      </c>
      <c r="W33" s="1573">
        <f t="shared" si="14"/>
        <v>100</v>
      </c>
      <c r="X33" s="1566"/>
      <c r="Y33" s="3396"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40"/>
      <c r="M34" s="2171"/>
      <c r="N34" s="2171"/>
      <c r="O34" s="2171"/>
      <c r="P34" s="3396"/>
      <c r="Q34" s="1604" t="str">
        <f t="shared" si="11"/>
        <v>项目建筑规模</v>
      </c>
      <c r="R34" s="1576" t="s">
        <v>8</v>
      </c>
      <c r="S34" s="1577" t="e">
        <f t="shared" si="12"/>
        <v>#N/A</v>
      </c>
      <c r="T34" s="1576" t="s">
        <v>8</v>
      </c>
      <c r="U34" s="1577" t="e">
        <f t="shared" si="13"/>
        <v>#N/A</v>
      </c>
      <c r="V34" s="1576" t="s">
        <v>8</v>
      </c>
      <c r="W34" s="1577" t="e">
        <f t="shared" si="14"/>
        <v>#N/A</v>
      </c>
      <c r="X34" s="1578"/>
      <c r="Y34" s="3396"/>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2"/>
      <c r="M35" s="2134"/>
      <c r="N35" s="2134"/>
      <c r="O35" s="2134"/>
      <c r="P35" s="3396"/>
      <c r="Q35" s="1571" t="str">
        <f t="shared" si="11"/>
        <v>建筑结构</v>
      </c>
      <c r="R35" s="1572" t="s">
        <v>8</v>
      </c>
      <c r="S35" s="1573">
        <f t="shared" si="12"/>
        <v>100</v>
      </c>
      <c r="T35" s="1572" t="s">
        <v>8</v>
      </c>
      <c r="U35" s="1573">
        <f t="shared" si="13"/>
        <v>100</v>
      </c>
      <c r="V35" s="1572" t="s">
        <v>8</v>
      </c>
      <c r="W35" s="1573">
        <f t="shared" si="14"/>
        <v>100</v>
      </c>
      <c r="X35" s="1566"/>
      <c r="Y35" s="3396"/>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2"/>
      <c r="M36" s="2134"/>
      <c r="N36" s="2134"/>
      <c r="O36" s="2134"/>
      <c r="P36" s="3396"/>
      <c r="Q36" s="1571" t="str">
        <f t="shared" si="11"/>
        <v>公共部分装修</v>
      </c>
      <c r="R36" s="1572" t="s">
        <v>8</v>
      </c>
      <c r="S36" s="1573">
        <f t="shared" si="12"/>
        <v>100</v>
      </c>
      <c r="T36" s="1572" t="s">
        <v>8</v>
      </c>
      <c r="U36" s="1573">
        <f t="shared" si="13"/>
        <v>100</v>
      </c>
      <c r="V36" s="1572" t="s">
        <v>8</v>
      </c>
      <c r="W36" s="1573">
        <f t="shared" si="14"/>
        <v>100</v>
      </c>
      <c r="X36" s="1566"/>
      <c r="Y36" s="3396"/>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2"/>
      <c r="M37" s="2134"/>
      <c r="N37" s="2134"/>
      <c r="O37" s="2134"/>
      <c r="P37" s="3396"/>
      <c r="Q37" s="1571" t="str">
        <f t="shared" si="11"/>
        <v>成新度</v>
      </c>
      <c r="R37" s="1572" t="s">
        <v>8</v>
      </c>
      <c r="S37" s="1573" t="e">
        <f t="shared" si="12"/>
        <v>#N/A</v>
      </c>
      <c r="T37" s="1572" t="s">
        <v>8</v>
      </c>
      <c r="U37" s="1573" t="e">
        <f t="shared" si="13"/>
        <v>#N/A</v>
      </c>
      <c r="V37" s="1572" t="s">
        <v>8</v>
      </c>
      <c r="W37" s="1573" t="e">
        <f t="shared" si="14"/>
        <v>#N/A</v>
      </c>
      <c r="X37" s="1566"/>
      <c r="Y37" s="3396"/>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396"/>
      <c r="Q38" s="1149" t="str">
        <f t="shared" si="11"/>
        <v>写字楼等级</v>
      </c>
      <c r="R38" s="1567" t="s">
        <v>8</v>
      </c>
      <c r="S38" s="1568">
        <f t="shared" si="12"/>
        <v>100</v>
      </c>
      <c r="T38" s="1567" t="s">
        <v>8</v>
      </c>
      <c r="U38" s="1568">
        <f t="shared" si="13"/>
        <v>100</v>
      </c>
      <c r="V38" s="1567" t="s">
        <v>8</v>
      </c>
      <c r="W38" s="1568">
        <f t="shared" si="14"/>
        <v>100</v>
      </c>
      <c r="X38" s="1569"/>
      <c r="Y38" s="3396"/>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2"/>
      <c r="M39" s="2134"/>
      <c r="N39" s="2134"/>
      <c r="O39" s="2134"/>
      <c r="P39" s="3396" t="s">
        <v>550</v>
      </c>
      <c r="Q39" s="1571" t="str">
        <f t="shared" si="11"/>
        <v>物业管理</v>
      </c>
      <c r="R39" s="1572" t="s">
        <v>8</v>
      </c>
      <c r="S39" s="1573">
        <f t="shared" si="12"/>
        <v>100</v>
      </c>
      <c r="T39" s="1572" t="s">
        <v>8</v>
      </c>
      <c r="U39" s="1573">
        <f t="shared" si="13"/>
        <v>100</v>
      </c>
      <c r="V39" s="1572" t="s">
        <v>8</v>
      </c>
      <c r="W39" s="1573">
        <f t="shared" si="14"/>
        <v>100</v>
      </c>
      <c r="X39" s="1566"/>
      <c r="Y39" s="3396" t="s">
        <v>550</v>
      </c>
      <c r="Z39" s="1574" t="str">
        <f t="shared" si="15"/>
        <v>物业管理</v>
      </c>
      <c r="AA39" s="1575">
        <f t="shared" si="3"/>
        <v>1</v>
      </c>
      <c r="AB39" s="1575">
        <f t="shared" si="4"/>
        <v>1</v>
      </c>
      <c r="AC39" s="1575">
        <f t="shared" si="5"/>
        <v>1</v>
      </c>
    </row>
    <row r="40" spans="1:29" ht="15">
      <c r="A40" s="592"/>
      <c r="B40" s="1895"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2"/>
      <c r="M40" s="2134"/>
      <c r="N40" s="2134"/>
      <c r="O40" s="2134"/>
      <c r="P40" s="3396"/>
      <c r="Q40" s="1571" t="str">
        <f t="shared" si="11"/>
        <v>市政基础设施</v>
      </c>
      <c r="R40" s="1572" t="s">
        <v>8</v>
      </c>
      <c r="S40" s="1573">
        <f t="shared" si="12"/>
        <v>100</v>
      </c>
      <c r="T40" s="1572" t="s">
        <v>8</v>
      </c>
      <c r="U40" s="1573">
        <f t="shared" si="13"/>
        <v>100</v>
      </c>
      <c r="V40" s="1572" t="s">
        <v>8</v>
      </c>
      <c r="W40" s="1573">
        <f t="shared" si="14"/>
        <v>100</v>
      </c>
      <c r="X40" s="1566"/>
      <c r="Y40" s="3396"/>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396"/>
      <c r="Q41" s="1571" t="str">
        <f t="shared" si="11"/>
        <v>层高</v>
      </c>
      <c r="R41" s="1572" t="s">
        <v>8</v>
      </c>
      <c r="S41" s="1573">
        <f t="shared" si="12"/>
        <v>100</v>
      </c>
      <c r="T41" s="1572" t="s">
        <v>8</v>
      </c>
      <c r="U41" s="1573">
        <f t="shared" si="13"/>
        <v>100</v>
      </c>
      <c r="V41" s="1572" t="s">
        <v>8</v>
      </c>
      <c r="W41" s="1573">
        <f t="shared" si="14"/>
        <v>100</v>
      </c>
      <c r="X41" s="1566"/>
      <c r="Y41" s="3396"/>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396"/>
      <c r="Q42" s="1604" t="str">
        <f t="shared" si="11"/>
        <v>单套建筑面积</v>
      </c>
      <c r="R42" s="1576" t="s">
        <v>8</v>
      </c>
      <c r="S42" s="1577">
        <f t="shared" si="12"/>
        <v>100</v>
      </c>
      <c r="T42" s="1576" t="s">
        <v>8</v>
      </c>
      <c r="U42" s="1577">
        <f t="shared" si="13"/>
        <v>100</v>
      </c>
      <c r="V42" s="1576" t="s">
        <v>8</v>
      </c>
      <c r="W42" s="1577">
        <f t="shared" si="14"/>
        <v>100</v>
      </c>
      <c r="X42" s="1578"/>
      <c r="Y42" s="3396"/>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2"/>
      <c r="M43" s="2134"/>
      <c r="N43" s="2134"/>
      <c r="O43" s="2134"/>
      <c r="P43" s="3396"/>
      <c r="Q43" s="1571" t="str">
        <f t="shared" si="11"/>
        <v>内部装修</v>
      </c>
      <c r="R43" s="1572" t="s">
        <v>8</v>
      </c>
      <c r="S43" s="1573">
        <f t="shared" si="12"/>
        <v>100</v>
      </c>
      <c r="T43" s="1572" t="s">
        <v>8</v>
      </c>
      <c r="U43" s="1573">
        <f t="shared" si="13"/>
        <v>100</v>
      </c>
      <c r="V43" s="1572" t="s">
        <v>8</v>
      </c>
      <c r="W43" s="1573">
        <f t="shared" si="14"/>
        <v>100</v>
      </c>
      <c r="X43" s="1566"/>
      <c r="Y43" s="3396"/>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2"/>
      <c r="M44" s="2134"/>
      <c r="N44" s="2134"/>
      <c r="O44" s="2134"/>
      <c r="P44" s="3396"/>
      <c r="Q44" s="1571" t="str">
        <f t="shared" si="11"/>
        <v>内部装修维护情况</v>
      </c>
      <c r="R44" s="1572" t="s">
        <v>8</v>
      </c>
      <c r="S44" s="1573">
        <f t="shared" si="12"/>
        <v>100</v>
      </c>
      <c r="T44" s="1572" t="s">
        <v>8</v>
      </c>
      <c r="U44" s="1573">
        <f t="shared" si="13"/>
        <v>100</v>
      </c>
      <c r="V44" s="1572" t="s">
        <v>8</v>
      </c>
      <c r="W44" s="1573">
        <f t="shared" si="14"/>
        <v>100</v>
      </c>
      <c r="X44" s="1566"/>
      <c r="Y44" s="3396"/>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5"/>
      <c r="M45" s="2136"/>
      <c r="N45" s="2136"/>
      <c r="O45" s="2136"/>
      <c r="P45" s="3396"/>
      <c r="Q45" s="1149">
        <f t="shared" si="11"/>
        <v>111</v>
      </c>
      <c r="R45" s="1567" t="s">
        <v>8</v>
      </c>
      <c r="S45" s="1568">
        <f t="shared" si="12"/>
        <v>100</v>
      </c>
      <c r="T45" s="1567" t="s">
        <v>8</v>
      </c>
      <c r="U45" s="1568">
        <f t="shared" si="13"/>
        <v>100</v>
      </c>
      <c r="V45" s="1567" t="s">
        <v>8</v>
      </c>
      <c r="W45" s="1568">
        <f t="shared" si="14"/>
        <v>100</v>
      </c>
      <c r="X45" s="1569"/>
      <c r="Y45" s="3396"/>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396"/>
      <c r="Q46" s="1571">
        <f t="shared" si="11"/>
        <v>111</v>
      </c>
      <c r="R46" s="1572" t="s">
        <v>8</v>
      </c>
      <c r="S46" s="1573">
        <f t="shared" si="12"/>
        <v>100</v>
      </c>
      <c r="T46" s="1572" t="s">
        <v>8</v>
      </c>
      <c r="U46" s="1573">
        <f t="shared" si="13"/>
        <v>100</v>
      </c>
      <c r="V46" s="1572" t="s">
        <v>8</v>
      </c>
      <c r="W46" s="1573">
        <f t="shared" si="14"/>
        <v>100</v>
      </c>
      <c r="X46" s="1566"/>
      <c r="Y46" s="3396"/>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450"/>
      <c r="Q47" s="1571">
        <f t="shared" si="11"/>
        <v>111</v>
      </c>
      <c r="R47" s="1572" t="s">
        <v>8</v>
      </c>
      <c r="S47" s="1573">
        <f t="shared" si="12"/>
        <v>100</v>
      </c>
      <c r="T47" s="1572" t="s">
        <v>8</v>
      </c>
      <c r="U47" s="1573">
        <f t="shared" si="13"/>
        <v>100</v>
      </c>
      <c r="V47" s="1572" t="s">
        <v>8</v>
      </c>
      <c r="W47" s="1573">
        <f t="shared" si="14"/>
        <v>100</v>
      </c>
      <c r="X47" s="1566"/>
      <c r="Y47" s="3450"/>
      <c r="Z47" s="1574">
        <f t="shared" si="15"/>
        <v>111</v>
      </c>
      <c r="AA47" s="1575">
        <f t="shared" si="3"/>
        <v>1</v>
      </c>
      <c r="AB47" s="1575">
        <f t="shared" si="4"/>
        <v>1</v>
      </c>
      <c r="AC47" s="1575">
        <f t="shared" si="5"/>
        <v>1</v>
      </c>
    </row>
    <row r="48" spans="1:29" ht="15">
      <c r="A48" s="605" t="s">
        <v>736</v>
      </c>
      <c r="B48" s="885"/>
      <c r="C48" s="2627" t="s">
        <v>1</v>
      </c>
      <c r="D48" s="2628"/>
      <c r="E48" s="2629"/>
      <c r="F48" s="2630"/>
      <c r="G48" s="2631"/>
      <c r="H48" s="2632"/>
      <c r="I48" s="2629"/>
      <c r="J48" s="2632"/>
      <c r="K48" s="1610"/>
      <c r="L48" s="2144"/>
      <c r="M48" s="2134"/>
      <c r="N48" s="2134"/>
      <c r="O48" s="2134"/>
      <c r="P48" s="3357" t="str">
        <f>A48</f>
        <v>成交单价（元/平方米）</v>
      </c>
      <c r="Q48" s="3359"/>
      <c r="R48" s="3449">
        <f>E48</f>
        <v>0</v>
      </c>
      <c r="S48" s="3449"/>
      <c r="T48" s="3449">
        <f>G48</f>
        <v>0</v>
      </c>
      <c r="U48" s="3449"/>
      <c r="V48" s="3449">
        <f>I48</f>
        <v>0</v>
      </c>
      <c r="W48" s="3449"/>
      <c r="X48" s="1558"/>
      <c r="Y48" s="1580"/>
      <c r="Z48" s="1558"/>
      <c r="AA48" s="1558"/>
      <c r="AB48" s="1558"/>
      <c r="AC48" s="1558"/>
    </row>
    <row r="49" spans="1:29" ht="15.75" thickBot="1">
      <c r="A49" s="613" t="s">
        <v>2757</v>
      </c>
      <c r="B49" s="886"/>
      <c r="C49" s="2633" t="e">
        <f>R50</f>
        <v>#DIV/0!</v>
      </c>
      <c r="D49" s="2634"/>
      <c r="E49" s="2635" t="e">
        <f>R49</f>
        <v>#DIV/0!</v>
      </c>
      <c r="F49" s="2635"/>
      <c r="G49" s="2633" t="e">
        <f>T49</f>
        <v>#DIV/0!</v>
      </c>
      <c r="H49" s="2634"/>
      <c r="I49" s="2635" t="e">
        <f>V49</f>
        <v>#DIV/0!</v>
      </c>
      <c r="J49" s="2634"/>
      <c r="K49" s="1611"/>
      <c r="L49" s="2144"/>
      <c r="M49" s="2134"/>
      <c r="N49" s="2134"/>
      <c r="O49" s="2134"/>
      <c r="P49" s="3357" t="str">
        <f>A49</f>
        <v>比较价格（元/平方米）</v>
      </c>
      <c r="Q49" s="3359"/>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58"/>
      <c r="Y49" s="1558"/>
      <c r="Z49" s="1558"/>
      <c r="AA49" s="1558"/>
      <c r="AB49" s="1558"/>
      <c r="AC49" s="1558"/>
    </row>
    <row r="50" spans="1:29" ht="15.75" thickBot="1">
      <c r="A50" s="619" t="s">
        <v>2921</v>
      </c>
      <c r="B50" s="620"/>
      <c r="C50" s="2636" t="e">
        <f>R50</f>
        <v>#DIV/0!</v>
      </c>
      <c r="D50" s="2636"/>
      <c r="E50" s="2636"/>
      <c r="F50" s="2636"/>
      <c r="G50" s="2636"/>
      <c r="H50" s="2636"/>
      <c r="I50" s="2636"/>
      <c r="J50" s="2636"/>
      <c r="K50" s="1612"/>
      <c r="L50" s="2144"/>
      <c r="M50" s="2134"/>
      <c r="N50" s="2134"/>
      <c r="O50" s="2134"/>
      <c r="P50" s="3472" t="str">
        <f>A50</f>
        <v>估价对象XX用房的比较价格（楼面单价，元/平方米）</v>
      </c>
      <c r="Q50" s="3357"/>
      <c r="R50" s="3448" t="e">
        <f>IF(F1="售价",ROUND(AVERAGE(R49:V49),0),ROUND(AVERAGE(R49:V49),1))</f>
        <v>#DIV/0!</v>
      </c>
      <c r="S50" s="3448"/>
      <c r="T50" s="3448"/>
      <c r="U50" s="3448"/>
      <c r="V50" s="3448"/>
      <c r="W50" s="344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c r="E60" s="648"/>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c r="D61" s="654"/>
      <c r="E61" s="654"/>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f>C9</f>
        <v>0</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2555</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597" t="s">
        <v>2556</v>
      </c>
      <c r="C83" s="2598" t="s">
        <v>2557</v>
      </c>
      <c r="D83" s="2598" t="s">
        <v>2558</v>
      </c>
      <c r="E83" s="2598" t="s">
        <v>2559</v>
      </c>
      <c r="F83" s="2598" t="s">
        <v>2560</v>
      </c>
      <c r="G83" s="2598" t="s">
        <v>2561</v>
      </c>
      <c r="H83" s="672"/>
      <c r="I83" s="672"/>
      <c r="J83" s="672"/>
      <c r="K83" s="672"/>
      <c r="L83" s="672"/>
      <c r="M83" s="2601"/>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686"/>
      <c r="D87" s="686"/>
      <c r="E87" s="686"/>
      <c r="F87" s="686"/>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7"/>
      <c r="B93" s="671">
        <f>B29</f>
        <v>111</v>
      </c>
      <c r="C93" s="686"/>
      <c r="D93" s="686"/>
      <c r="E93" s="686"/>
      <c r="F93" s="686"/>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596"/>
      <c r="D101" s="596"/>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c r="D104" s="728"/>
      <c r="E104" s="728"/>
      <c r="F104" s="728"/>
      <c r="G104" s="728"/>
      <c r="H104" s="728"/>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c r="D105" s="669"/>
      <c r="E105" s="669"/>
      <c r="F105" s="669"/>
      <c r="G105" s="669"/>
      <c r="H105" s="669"/>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686"/>
      <c r="D106" s="686"/>
      <c r="E106" s="716"/>
      <c r="F106" s="716"/>
      <c r="G106" s="716"/>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686"/>
      <c r="D108" s="686"/>
      <c r="E108" s="686"/>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686"/>
      <c r="D115" s="686"/>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2554</v>
      </c>
      <c r="C117" s="686"/>
      <c r="D117" s="686"/>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686"/>
      <c r="D123" s="686"/>
      <c r="E123" s="686"/>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f>B45</f>
        <v>111</v>
      </c>
      <c r="C127" s="686"/>
      <c r="D127" s="686"/>
      <c r="E127" s="686"/>
      <c r="F127" s="686"/>
      <c r="G127" s="686"/>
      <c r="H127" s="687"/>
      <c r="I127" s="687"/>
      <c r="J127" s="687"/>
      <c r="K127" s="687"/>
      <c r="L127" s="688"/>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c r="D128" s="669"/>
      <c r="E128" s="669"/>
      <c r="F128" s="669"/>
      <c r="G128" s="690"/>
      <c r="H128" s="691"/>
      <c r="I128" s="691"/>
      <c r="J128" s="691"/>
      <c r="K128" s="691"/>
      <c r="L128" s="691"/>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7"/>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365" t="s">
        <v>522</v>
      </c>
      <c r="D4" s="3366"/>
      <c r="E4" s="3399" t="s">
        <v>523</v>
      </c>
      <c r="F4" s="3400"/>
      <c r="G4" s="3365" t="s">
        <v>524</v>
      </c>
      <c r="H4" s="3366"/>
      <c r="I4" s="3365" t="s">
        <v>525</v>
      </c>
      <c r="J4" s="3366"/>
      <c r="K4" s="512" t="s">
        <v>526</v>
      </c>
      <c r="L4" s="2133"/>
      <c r="M4" s="2134"/>
      <c r="N4" s="2134"/>
      <c r="O4" s="2134"/>
      <c r="P4" s="3367" t="s">
        <v>527</v>
      </c>
      <c r="Q4" s="3368"/>
      <c r="R4" s="3373" t="s">
        <v>523</v>
      </c>
      <c r="S4" s="3374"/>
      <c r="T4" s="3373" t="s">
        <v>524</v>
      </c>
      <c r="U4" s="3374"/>
      <c r="V4" s="3360" t="s">
        <v>525</v>
      </c>
      <c r="W4" s="3360"/>
      <c r="X4" s="1566"/>
      <c r="Y4" s="3373" t="s">
        <v>527</v>
      </c>
      <c r="Z4" s="3374"/>
      <c r="AA4" s="3362" t="s">
        <v>523</v>
      </c>
      <c r="AB4" s="3363" t="s">
        <v>524</v>
      </c>
      <c r="AC4" s="3362" t="s">
        <v>525</v>
      </c>
    </row>
    <row r="5" spans="1:29" ht="15">
      <c r="A5" s="513"/>
      <c r="B5" s="514"/>
      <c r="C5" s="3381" t="s">
        <v>2915</v>
      </c>
      <c r="D5" s="3382"/>
      <c r="E5" s="3401" t="s">
        <v>2916</v>
      </c>
      <c r="F5" s="3402"/>
      <c r="G5" s="3381" t="s">
        <v>2917</v>
      </c>
      <c r="H5" s="3382"/>
      <c r="I5" s="3381" t="s">
        <v>2918</v>
      </c>
      <c r="J5" s="3382"/>
      <c r="K5" s="512"/>
      <c r="L5" s="2133"/>
      <c r="M5" s="2134"/>
      <c r="N5" s="2134"/>
      <c r="O5" s="2134"/>
      <c r="P5" s="3369"/>
      <c r="Q5" s="3370"/>
      <c r="R5" s="3375"/>
      <c r="S5" s="3376"/>
      <c r="T5" s="3375"/>
      <c r="U5" s="3376"/>
      <c r="V5" s="3360"/>
      <c r="W5" s="3360"/>
      <c r="X5" s="1566"/>
      <c r="Y5" s="3375"/>
      <c r="Z5" s="3376"/>
      <c r="AA5" s="3363"/>
      <c r="AB5" s="3363"/>
      <c r="AC5" s="3363"/>
    </row>
    <row r="6" spans="1:29" ht="15.75" thickBot="1">
      <c r="A6" s="515"/>
      <c r="B6" s="516"/>
      <c r="C6" s="3379" t="s">
        <v>2919</v>
      </c>
      <c r="D6" s="3380"/>
      <c r="E6" s="3397" t="s">
        <v>2919</v>
      </c>
      <c r="F6" s="3398"/>
      <c r="G6" s="3379" t="s">
        <v>2919</v>
      </c>
      <c r="H6" s="3380"/>
      <c r="I6" s="3379" t="s">
        <v>2919</v>
      </c>
      <c r="J6" s="3380"/>
      <c r="K6" s="512" t="s">
        <v>528</v>
      </c>
      <c r="L6" s="2133"/>
      <c r="M6" s="2134"/>
      <c r="N6" s="2134"/>
      <c r="O6" s="2134"/>
      <c r="P6" s="3371"/>
      <c r="Q6" s="3372"/>
      <c r="R6" s="3375"/>
      <c r="S6" s="3376"/>
      <c r="T6" s="3377"/>
      <c r="U6" s="3378"/>
      <c r="V6" s="3360"/>
      <c r="W6" s="3360"/>
      <c r="X6" s="1566"/>
      <c r="Y6" s="3377"/>
      <c r="Z6" s="3378"/>
      <c r="AA6" s="3364"/>
      <c r="AB6" s="3364"/>
      <c r="AC6" s="3364"/>
    </row>
    <row r="7" spans="1:29" s="1218" customFormat="1" ht="15.75" thickBot="1">
      <c r="A7" s="2912"/>
      <c r="B7" s="2919" t="s">
        <v>529</v>
      </c>
      <c r="C7" s="517">
        <f>'数据-取费表'!B2</f>
        <v>43384</v>
      </c>
      <c r="D7" s="518">
        <v>100</v>
      </c>
      <c r="E7" s="519"/>
      <c r="F7" s="520">
        <f>SUMIF(52:52,YEAR(E7)&amp;"-"&amp;MONTH(E7),53:53)</f>
        <v>0</v>
      </c>
      <c r="G7" s="519"/>
      <c r="H7" s="518">
        <f>SUMIF(52:52,YEAR(G7)&amp;"-"&amp;MONTH(G7),53:53)</f>
        <v>0</v>
      </c>
      <c r="I7" s="519"/>
      <c r="J7" s="518">
        <f>SUMIF(52:52,YEAR(I7)&amp;"-"&amp;MONTH(I7),53:53)</f>
        <v>0</v>
      </c>
      <c r="K7" s="522"/>
      <c r="L7" s="2135"/>
      <c r="M7" s="2136"/>
      <c r="N7" s="2136"/>
      <c r="O7" s="2136"/>
      <c r="P7" s="3390" t="s">
        <v>530</v>
      </c>
      <c r="Q7" s="3392"/>
      <c r="R7" s="1567" t="s">
        <v>8</v>
      </c>
      <c r="S7" s="1568">
        <f t="shared" ref="S7:S15" si="0">F7</f>
        <v>0</v>
      </c>
      <c r="T7" s="1567" t="s">
        <v>8</v>
      </c>
      <c r="U7" s="1568">
        <f t="shared" ref="U7:U15" si="1">H7</f>
        <v>0</v>
      </c>
      <c r="V7" s="1567" t="s">
        <v>8</v>
      </c>
      <c r="W7" s="1568">
        <f t="shared" ref="W7:W15" si="2">J7</f>
        <v>0</v>
      </c>
      <c r="X7" s="1569"/>
      <c r="Y7" s="3390" t="s">
        <v>530</v>
      </c>
      <c r="Z7" s="3391"/>
      <c r="AA7" s="1570" t="e">
        <f>D7/F7</f>
        <v>#DIV/0!</v>
      </c>
      <c r="AB7" s="1570" t="e">
        <f>D7/H7</f>
        <v>#DIV/0!</v>
      </c>
      <c r="AC7" s="1570" t="e">
        <f>D7/J7</f>
        <v>#DIV/0!</v>
      </c>
    </row>
    <row r="8" spans="1:29" s="1218" customFormat="1" ht="15.75" thickBot="1">
      <c r="A8" s="2913"/>
      <c r="B8" s="2920"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40" si="3">D8/F8</f>
        <v>#DIV/0!</v>
      </c>
      <c r="AB8" s="1570" t="e">
        <f t="shared" ref="AB8:AB40" si="4">D8/H8</f>
        <v>#DIV/0!</v>
      </c>
      <c r="AC8" s="1570" t="e">
        <f t="shared" ref="AC8:AC40" si="5">D8/J8</f>
        <v>#DIV/0!</v>
      </c>
    </row>
    <row r="9" spans="1:29" s="1218" customFormat="1" ht="15">
      <c r="A9" s="2914"/>
      <c r="B9" s="2921" t="s">
        <v>2753</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359" t="s">
        <v>535</v>
      </c>
      <c r="Q9" s="1149" t="str">
        <f t="shared" ref="Q9:Q15" si="6">B9</f>
        <v>用途</v>
      </c>
      <c r="R9" s="1567" t="s">
        <v>8</v>
      </c>
      <c r="S9" s="1568">
        <f t="shared" si="0"/>
        <v>100</v>
      </c>
      <c r="T9" s="1567" t="s">
        <v>8</v>
      </c>
      <c r="U9" s="1568">
        <f t="shared" si="1"/>
        <v>100</v>
      </c>
      <c r="V9" s="1567" t="s">
        <v>8</v>
      </c>
      <c r="W9" s="1568">
        <f t="shared" si="2"/>
        <v>100</v>
      </c>
      <c r="X9" s="1569"/>
      <c r="Y9" s="3305" t="s">
        <v>536</v>
      </c>
      <c r="Z9" s="1148" t="str">
        <f t="shared" ref="Z9:Z15" si="7">Q9</f>
        <v>用途</v>
      </c>
      <c r="AA9" s="1570">
        <f t="shared" si="3"/>
        <v>1</v>
      </c>
      <c r="AB9" s="1570">
        <f t="shared" si="4"/>
        <v>1</v>
      </c>
      <c r="AC9" s="1570">
        <f t="shared" si="5"/>
        <v>1</v>
      </c>
    </row>
    <row r="10" spans="1:29" s="1336" customFormat="1" ht="27">
      <c r="A10" s="2915"/>
      <c r="B10" s="2920" t="s">
        <v>2754</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c r="A11" s="2916"/>
      <c r="B11" s="2920"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359"/>
      <c r="Q11" s="1149" t="str">
        <f t="shared" si="6"/>
        <v>容积率</v>
      </c>
      <c r="R11" s="1567" t="s">
        <v>8</v>
      </c>
      <c r="S11" s="1568" t="e">
        <f t="shared" si="0"/>
        <v>#N/A</v>
      </c>
      <c r="T11" s="1567" t="s">
        <v>8</v>
      </c>
      <c r="U11" s="1568" t="e">
        <f t="shared" si="1"/>
        <v>#N/A</v>
      </c>
      <c r="V11" s="1567" t="s">
        <v>8</v>
      </c>
      <c r="W11" s="1568" t="e">
        <f t="shared" si="2"/>
        <v>#N/A</v>
      </c>
      <c r="X11" s="1569"/>
      <c r="Y11" s="3305"/>
      <c r="Z11" s="1148" t="str">
        <f t="shared" si="7"/>
        <v>容积率</v>
      </c>
      <c r="AA11" s="1570" t="e">
        <f t="shared" si="3"/>
        <v>#N/A</v>
      </c>
      <c r="AB11" s="1570" t="e">
        <f t="shared" si="4"/>
        <v>#N/A</v>
      </c>
      <c r="AC11" s="1570" t="e">
        <f t="shared" si="5"/>
        <v>#N/A</v>
      </c>
    </row>
    <row r="12" spans="1:29" s="1218" customFormat="1" ht="15">
      <c r="A12" s="2917"/>
      <c r="B12" s="2923">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359"/>
      <c r="Q12" s="1149">
        <f t="shared" si="6"/>
        <v>111</v>
      </c>
      <c r="R12" s="1567" t="s">
        <v>8</v>
      </c>
      <c r="S12" s="1568">
        <f t="shared" si="0"/>
        <v>100</v>
      </c>
      <c r="T12" s="1567" t="s">
        <v>8</v>
      </c>
      <c r="U12" s="1568">
        <f t="shared" si="1"/>
        <v>100</v>
      </c>
      <c r="V12" s="1567" t="s">
        <v>8</v>
      </c>
      <c r="W12" s="1568">
        <f t="shared" si="2"/>
        <v>100</v>
      </c>
      <c r="X12" s="1569"/>
      <c r="Y12" s="3305"/>
      <c r="Z12" s="1148">
        <f t="shared" si="7"/>
        <v>111</v>
      </c>
      <c r="AA12" s="1570">
        <f>D12/F12</f>
        <v>1</v>
      </c>
      <c r="AB12" s="1570">
        <f>D12/H12</f>
        <v>1</v>
      </c>
      <c r="AC12" s="1570">
        <f>D12/J12</f>
        <v>1</v>
      </c>
    </row>
    <row r="13" spans="1:29" ht="15">
      <c r="A13" s="2917"/>
      <c r="B13" s="2923">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359"/>
      <c r="Q13" s="1149">
        <f t="shared" si="6"/>
        <v>111</v>
      </c>
      <c r="R13" s="1567" t="s">
        <v>8</v>
      </c>
      <c r="S13" s="1568">
        <f t="shared" si="0"/>
        <v>100</v>
      </c>
      <c r="T13" s="1567" t="s">
        <v>8</v>
      </c>
      <c r="U13" s="1568">
        <f t="shared" si="1"/>
        <v>100</v>
      </c>
      <c r="V13" s="1567" t="s">
        <v>8</v>
      </c>
      <c r="W13" s="1568">
        <f t="shared" si="2"/>
        <v>100</v>
      </c>
      <c r="X13" s="1569"/>
      <c r="Y13" s="3305"/>
      <c r="Z13" s="1148">
        <f t="shared" si="7"/>
        <v>111</v>
      </c>
      <c r="AA13" s="1570">
        <f t="shared" si="3"/>
        <v>1</v>
      </c>
      <c r="AB13" s="1570">
        <f t="shared" si="4"/>
        <v>1</v>
      </c>
      <c r="AC13" s="1570">
        <f t="shared" si="5"/>
        <v>1</v>
      </c>
    </row>
    <row r="14" spans="1:29" ht="15.75" thickBot="1">
      <c r="A14" s="2918"/>
      <c r="B14" s="2924">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359"/>
      <c r="Q14" s="1149">
        <f t="shared" si="6"/>
        <v>111</v>
      </c>
      <c r="R14" s="1567" t="s">
        <v>8</v>
      </c>
      <c r="S14" s="1568">
        <f t="shared" si="0"/>
        <v>100</v>
      </c>
      <c r="T14" s="1567" t="s">
        <v>8</v>
      </c>
      <c r="U14" s="1568">
        <f t="shared" si="1"/>
        <v>100</v>
      </c>
      <c r="V14" s="1567" t="s">
        <v>8</v>
      </c>
      <c r="W14" s="1568">
        <f t="shared" si="2"/>
        <v>100</v>
      </c>
      <c r="X14" s="1569"/>
      <c r="Y14" s="3305"/>
      <c r="Z14" s="1148">
        <f t="shared" si="7"/>
        <v>111</v>
      </c>
      <c r="AA14" s="1570">
        <f t="shared" si="3"/>
        <v>1</v>
      </c>
      <c r="AB14" s="1570">
        <f t="shared" si="4"/>
        <v>1</v>
      </c>
      <c r="AC14" s="1570">
        <f t="shared" si="5"/>
        <v>1</v>
      </c>
    </row>
    <row r="15" spans="1:29" ht="15">
      <c r="A15" s="2910" t="s">
        <v>2751</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393" t="s">
        <v>540</v>
      </c>
      <c r="Q15" s="1571" t="str">
        <f t="shared" si="6"/>
        <v>产业集聚程度</v>
      </c>
      <c r="R15" s="1572" t="s">
        <v>8</v>
      </c>
      <c r="S15" s="1573">
        <f t="shared" si="0"/>
        <v>100</v>
      </c>
      <c r="T15" s="1572" t="s">
        <v>8</v>
      </c>
      <c r="U15" s="1573">
        <f t="shared" si="1"/>
        <v>100</v>
      </c>
      <c r="V15" s="1572" t="s">
        <v>8</v>
      </c>
      <c r="W15" s="1573">
        <f t="shared" si="2"/>
        <v>100</v>
      </c>
      <c r="X15" s="1566"/>
      <c r="Y15" s="3393"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4"/>
      <c r="Q16" s="1571"/>
      <c r="R16" s="1572"/>
      <c r="S16" s="1573"/>
      <c r="T16" s="1572"/>
      <c r="U16" s="1573"/>
      <c r="V16" s="1572"/>
      <c r="W16" s="1573"/>
      <c r="X16" s="1566"/>
      <c r="Y16" s="3394"/>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4"/>
      <c r="Q18" s="1571"/>
      <c r="R18" s="1572"/>
      <c r="S18" s="1573"/>
      <c r="T18" s="1572"/>
      <c r="U18" s="1573"/>
      <c r="V18" s="1572"/>
      <c r="W18" s="1573"/>
      <c r="X18" s="1566"/>
      <c r="Y18" s="3394"/>
      <c r="Z18" s="1574"/>
      <c r="AA18" s="1575">
        <v>1</v>
      </c>
      <c r="AB18" s="1575">
        <v>1</v>
      </c>
      <c r="AC18" s="1575">
        <v>1</v>
      </c>
    </row>
    <row r="19" spans="1:29" ht="15">
      <c r="A19" s="530"/>
      <c r="B19" s="2603" t="s">
        <v>2544</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394"/>
      <c r="Q20" s="1571"/>
      <c r="R20" s="1572"/>
      <c r="S20" s="1573"/>
      <c r="T20" s="1572"/>
      <c r="U20" s="1573"/>
      <c r="V20" s="1572"/>
      <c r="W20" s="1573"/>
      <c r="X20" s="1566"/>
      <c r="Y20" s="3394"/>
      <c r="Z20" s="1574"/>
      <c r="AA20" s="1575">
        <v>1</v>
      </c>
      <c r="AB20" s="1575">
        <v>1</v>
      </c>
      <c r="AC20" s="1575">
        <v>1</v>
      </c>
    </row>
    <row r="21" spans="1:29" ht="15">
      <c r="A21" s="530"/>
      <c r="B21" s="2591" t="s">
        <v>2556</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394"/>
      <c r="Q21" s="2579" t="str">
        <f>B21</f>
        <v>基础设施水平</v>
      </c>
      <c r="R21" s="1572" t="s">
        <v>8</v>
      </c>
      <c r="S21" s="1573">
        <f>F21</f>
        <v>100</v>
      </c>
      <c r="T21" s="1572" t="s">
        <v>8</v>
      </c>
      <c r="U21" s="1573">
        <f>H21</f>
        <v>100</v>
      </c>
      <c r="V21" s="1572" t="s">
        <v>8</v>
      </c>
      <c r="W21" s="1573">
        <f>J21</f>
        <v>100</v>
      </c>
      <c r="X21" s="2581"/>
      <c r="Y21" s="3394"/>
      <c r="Z21" s="2580"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2"/>
      <c r="L22" s="2142"/>
      <c r="M22" s="2134"/>
      <c r="N22" s="2134"/>
      <c r="O22" s="2141"/>
      <c r="P22" s="3394"/>
      <c r="Q22" s="2579"/>
      <c r="R22" s="1572"/>
      <c r="S22" s="1573"/>
      <c r="T22" s="1572"/>
      <c r="U22" s="1573"/>
      <c r="V22" s="1572"/>
      <c r="W22" s="1573"/>
      <c r="X22" s="2581"/>
      <c r="Y22" s="3394"/>
      <c r="Z22" s="2580"/>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394"/>
      <c r="Q23" s="1571" t="str">
        <f>B23</f>
        <v>环境质量</v>
      </c>
      <c r="R23" s="1572" t="s">
        <v>8</v>
      </c>
      <c r="S23" s="1573">
        <f>F23</f>
        <v>100</v>
      </c>
      <c r="T23" s="1572" t="s">
        <v>8</v>
      </c>
      <c r="U23" s="1573">
        <f>H23</f>
        <v>100</v>
      </c>
      <c r="V23" s="1572" t="s">
        <v>8</v>
      </c>
      <c r="W23" s="1573">
        <f>J23</f>
        <v>100</v>
      </c>
      <c r="X23" s="1566"/>
      <c r="Y23" s="3394"/>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394"/>
      <c r="Q24" s="1571"/>
      <c r="R24" s="1572"/>
      <c r="S24" s="1573"/>
      <c r="T24" s="1572"/>
      <c r="U24" s="1573"/>
      <c r="V24" s="1572"/>
      <c r="W24" s="1573"/>
      <c r="X24" s="1566"/>
      <c r="Y24" s="3394"/>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394"/>
      <c r="Q25" s="1571">
        <f>B25</f>
        <v>111</v>
      </c>
      <c r="R25" s="1572" t="s">
        <v>8</v>
      </c>
      <c r="S25" s="1573">
        <f>F25</f>
        <v>100</v>
      </c>
      <c r="T25" s="1572" t="s">
        <v>8</v>
      </c>
      <c r="U25" s="1573">
        <f>H25</f>
        <v>100</v>
      </c>
      <c r="V25" s="1572" t="s">
        <v>8</v>
      </c>
      <c r="W25" s="1573">
        <f>J25</f>
        <v>100</v>
      </c>
      <c r="X25" s="1566"/>
      <c r="Y25" s="3394"/>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394"/>
      <c r="Q26" s="1571">
        <f t="shared" ref="Q26:Q40" si="11">B26</f>
        <v>111</v>
      </c>
      <c r="R26" s="1572" t="s">
        <v>8</v>
      </c>
      <c r="S26" s="1573">
        <f>F26</f>
        <v>100</v>
      </c>
      <c r="T26" s="1572" t="s">
        <v>8</v>
      </c>
      <c r="U26" s="1573">
        <f>H26</f>
        <v>100</v>
      </c>
      <c r="V26" s="1572" t="s">
        <v>8</v>
      </c>
      <c r="W26" s="1573">
        <f>J26</f>
        <v>100</v>
      </c>
      <c r="X26" s="1566"/>
      <c r="Y26" s="3394"/>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394"/>
      <c r="Q27" s="1149">
        <f t="shared" si="11"/>
        <v>111</v>
      </c>
      <c r="R27" s="1567" t="s">
        <v>8</v>
      </c>
      <c r="S27" s="1568">
        <f>F27</f>
        <v>100</v>
      </c>
      <c r="T27" s="1567" t="s">
        <v>8</v>
      </c>
      <c r="U27" s="1568">
        <f>H27</f>
        <v>100</v>
      </c>
      <c r="V27" s="1567" t="s">
        <v>8</v>
      </c>
      <c r="W27" s="1568">
        <f>J27</f>
        <v>100</v>
      </c>
      <c r="X27" s="1569"/>
      <c r="Y27" s="3394"/>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394"/>
      <c r="Q28" s="1571">
        <f t="shared" si="11"/>
        <v>111</v>
      </c>
      <c r="R28" s="1572" t="s">
        <v>8</v>
      </c>
      <c r="S28" s="1573">
        <f t="shared" ref="S28:S40" si="12">F28</f>
        <v>100</v>
      </c>
      <c r="T28" s="1572" t="s">
        <v>8</v>
      </c>
      <c r="U28" s="1573">
        <f t="shared" ref="U28:U40" si="13">H28</f>
        <v>100</v>
      </c>
      <c r="V28" s="1572" t="s">
        <v>8</v>
      </c>
      <c r="W28" s="1573">
        <f t="shared" ref="W28:W40" si="14">J28</f>
        <v>100</v>
      </c>
      <c r="X28" s="1566"/>
      <c r="Y28" s="3394"/>
      <c r="Z28" s="1574">
        <f t="shared" ref="Z28:Z40" si="15">Q28</f>
        <v>111</v>
      </c>
      <c r="AA28" s="1575">
        <f t="shared" si="3"/>
        <v>1</v>
      </c>
      <c r="AB28" s="1575">
        <f t="shared" si="4"/>
        <v>1</v>
      </c>
      <c r="AC28" s="1575">
        <f t="shared" si="5"/>
        <v>1</v>
      </c>
    </row>
    <row r="29" spans="1:29" ht="15">
      <c r="A29" s="2907"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395" t="s">
        <v>550</v>
      </c>
      <c r="Q29" s="1571" t="str">
        <f t="shared" si="11"/>
        <v>建筑类型</v>
      </c>
      <c r="R29" s="1572" t="s">
        <v>8</v>
      </c>
      <c r="S29" s="1573">
        <f t="shared" si="12"/>
        <v>100</v>
      </c>
      <c r="T29" s="1572" t="s">
        <v>8</v>
      </c>
      <c r="U29" s="1573">
        <f t="shared" si="13"/>
        <v>100</v>
      </c>
      <c r="V29" s="1572" t="s">
        <v>8</v>
      </c>
      <c r="W29" s="1573">
        <f t="shared" si="14"/>
        <v>100</v>
      </c>
      <c r="X29" s="1566"/>
      <c r="Y29" s="3396"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396"/>
      <c r="Q30" s="1604" t="str">
        <f t="shared" si="11"/>
        <v>项目建筑规模</v>
      </c>
      <c r="R30" s="1576" t="s">
        <v>8</v>
      </c>
      <c r="S30" s="1577" t="e">
        <f t="shared" si="12"/>
        <v>#N/A</v>
      </c>
      <c r="T30" s="1576" t="s">
        <v>8</v>
      </c>
      <c r="U30" s="1577" t="e">
        <f t="shared" si="13"/>
        <v>#N/A</v>
      </c>
      <c r="V30" s="1576" t="s">
        <v>8</v>
      </c>
      <c r="W30" s="1577" t="e">
        <f t="shared" si="14"/>
        <v>#N/A</v>
      </c>
      <c r="X30" s="1578"/>
      <c r="Y30" s="3396"/>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396"/>
      <c r="Q31" s="1571" t="str">
        <f t="shared" si="11"/>
        <v>建筑结构</v>
      </c>
      <c r="R31" s="1572" t="s">
        <v>8</v>
      </c>
      <c r="S31" s="1573">
        <f t="shared" si="12"/>
        <v>100</v>
      </c>
      <c r="T31" s="1572" t="s">
        <v>8</v>
      </c>
      <c r="U31" s="1573">
        <f t="shared" si="13"/>
        <v>100</v>
      </c>
      <c r="V31" s="1572" t="s">
        <v>8</v>
      </c>
      <c r="W31" s="1573">
        <f t="shared" si="14"/>
        <v>100</v>
      </c>
      <c r="X31" s="1566"/>
      <c r="Y31" s="3396"/>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396"/>
      <c r="Q32" s="1571" t="str">
        <f t="shared" si="11"/>
        <v>公共部分装修</v>
      </c>
      <c r="R32" s="1572" t="s">
        <v>8</v>
      </c>
      <c r="S32" s="1573">
        <f t="shared" si="12"/>
        <v>100</v>
      </c>
      <c r="T32" s="1572" t="s">
        <v>8</v>
      </c>
      <c r="U32" s="1573">
        <f t="shared" si="13"/>
        <v>100</v>
      </c>
      <c r="V32" s="1572" t="s">
        <v>8</v>
      </c>
      <c r="W32" s="1573">
        <f t="shared" si="14"/>
        <v>100</v>
      </c>
      <c r="X32" s="1566"/>
      <c r="Y32" s="3396"/>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396"/>
      <c r="Q33" s="1571" t="str">
        <f t="shared" si="11"/>
        <v>成新度</v>
      </c>
      <c r="R33" s="1572" t="s">
        <v>8</v>
      </c>
      <c r="S33" s="1573" t="e">
        <f t="shared" si="12"/>
        <v>#N/A</v>
      </c>
      <c r="T33" s="1572" t="s">
        <v>8</v>
      </c>
      <c r="U33" s="1573" t="e">
        <f t="shared" si="13"/>
        <v>#N/A</v>
      </c>
      <c r="V33" s="1572" t="s">
        <v>8</v>
      </c>
      <c r="W33" s="1573" t="e">
        <f t="shared" si="14"/>
        <v>#N/A</v>
      </c>
      <c r="X33" s="1566"/>
      <c r="Y33" s="3396"/>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396"/>
      <c r="Q34" s="1149" t="str">
        <f t="shared" si="11"/>
        <v>物业管理</v>
      </c>
      <c r="R34" s="1567" t="s">
        <v>8</v>
      </c>
      <c r="S34" s="1568">
        <f t="shared" si="12"/>
        <v>100</v>
      </c>
      <c r="T34" s="1567" t="s">
        <v>8</v>
      </c>
      <c r="U34" s="1568">
        <f t="shared" si="13"/>
        <v>100</v>
      </c>
      <c r="V34" s="1567" t="s">
        <v>8</v>
      </c>
      <c r="W34" s="1568">
        <f t="shared" si="14"/>
        <v>100</v>
      </c>
      <c r="X34" s="1569"/>
      <c r="Y34" s="3396"/>
      <c r="Z34" s="1148" t="str">
        <f t="shared" si="15"/>
        <v>物业管理</v>
      </c>
      <c r="AA34" s="1570">
        <f t="shared" si="3"/>
        <v>1</v>
      </c>
      <c r="AB34" s="1570">
        <f t="shared" si="4"/>
        <v>1</v>
      </c>
      <c r="AC34" s="1570">
        <f t="shared" si="5"/>
        <v>1</v>
      </c>
    </row>
    <row r="35" spans="1:29" ht="15">
      <c r="A35" s="592"/>
      <c r="B35" s="1895"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396" t="s">
        <v>550</v>
      </c>
      <c r="Q35" s="1571" t="str">
        <f t="shared" si="11"/>
        <v>市政基础设施</v>
      </c>
      <c r="R35" s="1572" t="s">
        <v>8</v>
      </c>
      <c r="S35" s="1573">
        <f t="shared" si="12"/>
        <v>100</v>
      </c>
      <c r="T35" s="1572" t="s">
        <v>8</v>
      </c>
      <c r="U35" s="1573">
        <f t="shared" si="13"/>
        <v>100</v>
      </c>
      <c r="V35" s="1572" t="s">
        <v>8</v>
      </c>
      <c r="W35" s="1573">
        <f t="shared" si="14"/>
        <v>100</v>
      </c>
      <c r="X35" s="1566"/>
      <c r="Y35" s="3396"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396"/>
      <c r="Q36" s="1571" t="str">
        <f t="shared" si="11"/>
        <v>内部装修</v>
      </c>
      <c r="R36" s="1572" t="s">
        <v>8</v>
      </c>
      <c r="S36" s="1573">
        <f t="shared" si="12"/>
        <v>100</v>
      </c>
      <c r="T36" s="1572" t="s">
        <v>8</v>
      </c>
      <c r="U36" s="1573">
        <f t="shared" si="13"/>
        <v>100</v>
      </c>
      <c r="V36" s="1572" t="s">
        <v>8</v>
      </c>
      <c r="W36" s="1573">
        <f t="shared" si="14"/>
        <v>100</v>
      </c>
      <c r="X36" s="1566"/>
      <c r="Y36" s="3396"/>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396"/>
      <c r="Q37" s="1571" t="str">
        <f t="shared" si="11"/>
        <v>内部装修状况</v>
      </c>
      <c r="R37" s="1572" t="s">
        <v>8</v>
      </c>
      <c r="S37" s="1573">
        <f t="shared" si="12"/>
        <v>100</v>
      </c>
      <c r="T37" s="1572" t="s">
        <v>8</v>
      </c>
      <c r="U37" s="1573">
        <f t="shared" si="13"/>
        <v>100</v>
      </c>
      <c r="V37" s="1572" t="s">
        <v>8</v>
      </c>
      <c r="W37" s="1573">
        <f t="shared" si="14"/>
        <v>100</v>
      </c>
      <c r="X37" s="1566"/>
      <c r="Y37" s="3396"/>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396"/>
      <c r="Q38" s="1604">
        <f t="shared" si="11"/>
        <v>111</v>
      </c>
      <c r="R38" s="1576" t="s">
        <v>8</v>
      </c>
      <c r="S38" s="1577">
        <f t="shared" si="12"/>
        <v>100</v>
      </c>
      <c r="T38" s="1576" t="s">
        <v>8</v>
      </c>
      <c r="U38" s="1577">
        <f t="shared" si="13"/>
        <v>100</v>
      </c>
      <c r="V38" s="1576" t="s">
        <v>8</v>
      </c>
      <c r="W38" s="1577">
        <f t="shared" si="14"/>
        <v>100</v>
      </c>
      <c r="X38" s="1578"/>
      <c r="Y38" s="3396"/>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396"/>
      <c r="Q39" s="1571">
        <f t="shared" si="11"/>
        <v>111</v>
      </c>
      <c r="R39" s="1572" t="s">
        <v>8</v>
      </c>
      <c r="S39" s="1573">
        <f t="shared" si="12"/>
        <v>100</v>
      </c>
      <c r="T39" s="1572" t="s">
        <v>8</v>
      </c>
      <c r="U39" s="1573">
        <f t="shared" si="13"/>
        <v>100</v>
      </c>
      <c r="V39" s="1572" t="s">
        <v>8</v>
      </c>
      <c r="W39" s="1573">
        <f t="shared" si="14"/>
        <v>100</v>
      </c>
      <c r="X39" s="1566"/>
      <c r="Y39" s="3396"/>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450"/>
      <c r="Q40" s="1571">
        <f t="shared" si="11"/>
        <v>111</v>
      </c>
      <c r="R40" s="1572" t="s">
        <v>8</v>
      </c>
      <c r="S40" s="1573">
        <f t="shared" si="12"/>
        <v>100</v>
      </c>
      <c r="T40" s="1572" t="s">
        <v>8</v>
      </c>
      <c r="U40" s="1573">
        <f t="shared" si="13"/>
        <v>100</v>
      </c>
      <c r="V40" s="1572" t="s">
        <v>8</v>
      </c>
      <c r="W40" s="1573">
        <f t="shared" si="14"/>
        <v>100</v>
      </c>
      <c r="X40" s="1566"/>
      <c r="Y40" s="3450"/>
      <c r="Z40" s="1574">
        <f t="shared" si="15"/>
        <v>111</v>
      </c>
      <c r="AA40" s="1575">
        <f t="shared" si="3"/>
        <v>1</v>
      </c>
      <c r="AB40" s="1575">
        <f t="shared" si="4"/>
        <v>1</v>
      </c>
      <c r="AC40" s="1575">
        <f t="shared" si="5"/>
        <v>1</v>
      </c>
    </row>
    <row r="41" spans="1:29" ht="15">
      <c r="A41" s="605" t="s">
        <v>736</v>
      </c>
      <c r="B41" s="885"/>
      <c r="C41" s="2627" t="s">
        <v>1</v>
      </c>
      <c r="D41" s="2628"/>
      <c r="E41" s="2629"/>
      <c r="F41" s="2630"/>
      <c r="G41" s="2631"/>
      <c r="H41" s="2632"/>
      <c r="I41" s="2629"/>
      <c r="J41" s="2632"/>
      <c r="K41" s="1610"/>
      <c r="L41" s="2144"/>
      <c r="M41" s="2145"/>
      <c r="N41" s="2134"/>
      <c r="O41" s="2145"/>
      <c r="P41" s="3359" t="str">
        <f>A41</f>
        <v>成交单价（元/平方米）</v>
      </c>
      <c r="Q41" s="3359"/>
      <c r="R41" s="3449">
        <f>E41</f>
        <v>0</v>
      </c>
      <c r="S41" s="3449"/>
      <c r="T41" s="3449">
        <f>G41</f>
        <v>0</v>
      </c>
      <c r="U41" s="3449"/>
      <c r="V41" s="3449">
        <f>I41</f>
        <v>0</v>
      </c>
      <c r="W41" s="3449"/>
      <c r="X41" s="1558"/>
      <c r="Y41" s="1580"/>
      <c r="Z41" s="1558"/>
      <c r="AA41" s="1558"/>
      <c r="AB41" s="1558"/>
      <c r="AC41" s="1558"/>
    </row>
    <row r="42" spans="1:29" ht="15.75" thickBot="1">
      <c r="A42" s="613" t="s">
        <v>2757</v>
      </c>
      <c r="B42" s="886"/>
      <c r="C42" s="2633" t="e">
        <f>R43</f>
        <v>#DIV/0!</v>
      </c>
      <c r="D42" s="2634"/>
      <c r="E42" s="2635" t="e">
        <f>R42</f>
        <v>#DIV/0!</v>
      </c>
      <c r="F42" s="2635"/>
      <c r="G42" s="2633" t="e">
        <f>T42</f>
        <v>#DIV/0!</v>
      </c>
      <c r="H42" s="2634"/>
      <c r="I42" s="2635" t="e">
        <f>V42</f>
        <v>#DIV/0!</v>
      </c>
      <c r="J42" s="2634"/>
      <c r="K42" s="1611"/>
      <c r="L42" s="2144"/>
      <c r="M42" s="2145"/>
      <c r="N42" s="2134"/>
      <c r="O42" s="2145"/>
      <c r="P42" s="3359" t="str">
        <f>A42</f>
        <v>比较价格（元/平方米）</v>
      </c>
      <c r="Q42" s="3359"/>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58"/>
      <c r="Y42" s="1558"/>
      <c r="Z42" s="1558"/>
      <c r="AA42" s="1558"/>
      <c r="AB42" s="1558"/>
      <c r="AC42" s="1558"/>
    </row>
    <row r="43" spans="1:29" ht="15.75" thickBot="1">
      <c r="A43" s="619" t="s">
        <v>2921</v>
      </c>
      <c r="B43" s="620"/>
      <c r="C43" s="2636" t="e">
        <f>R43</f>
        <v>#DIV/0!</v>
      </c>
      <c r="D43" s="2636"/>
      <c r="E43" s="2636"/>
      <c r="F43" s="2636"/>
      <c r="G43" s="2636"/>
      <c r="H43" s="2636"/>
      <c r="I43" s="2636"/>
      <c r="J43" s="2636"/>
      <c r="K43" s="1612"/>
      <c r="L43" s="2144"/>
      <c r="M43" s="2145"/>
      <c r="N43" s="2145"/>
      <c r="O43" s="2145"/>
      <c r="P43" s="3356" t="str">
        <f>A43</f>
        <v>估价对象XX用房的比较价格（楼面单价，元/平方米）</v>
      </c>
      <c r="Q43" s="3357"/>
      <c r="R43" s="3448" t="e">
        <f>IF(F1="售价",ROUND(AVERAGE(R42:V42),0),ROUND(AVERAGE(R42:V42),1))</f>
        <v>#DIV/0!</v>
      </c>
      <c r="S43" s="3448"/>
      <c r="T43" s="3448"/>
      <c r="U43" s="3448"/>
      <c r="V43" s="3448"/>
      <c r="W43" s="344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2555</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597" t="s">
        <v>2556</v>
      </c>
      <c r="C76" s="2598" t="s">
        <v>2557</v>
      </c>
      <c r="D76" s="2598" t="s">
        <v>2558</v>
      </c>
      <c r="E76" s="2598" t="s">
        <v>2559</v>
      </c>
      <c r="F76" s="2598" t="s">
        <v>2560</v>
      </c>
      <c r="G76" s="2598" t="s">
        <v>2561</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2554</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39" sqref="L39"/>
    </sheetView>
  </sheetViews>
  <sheetFormatPr defaultRowHeight="14.25"/>
  <cols>
    <col min="1" max="1" width="10.5" style="1335" customWidth="1"/>
    <col min="2" max="2" width="15.75" style="1335" customWidth="1"/>
    <col min="3" max="3" width="16"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t="s">
        <v>923</v>
      </c>
      <c r="C1" s="502" t="s">
        <v>792</v>
      </c>
      <c r="D1" s="847" t="s">
        <v>2981</v>
      </c>
      <c r="E1" s="504"/>
      <c r="F1" s="2807" t="s">
        <v>3206</v>
      </c>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f>IF(B37="元/平方米",ROUND(B3*D3/10000,0),ROUND(F3*C39/10000,0))</f>
        <v>49947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f>IF(B37="元/平方米",C39,ROUND(B2*10000/D3,0))</f>
        <v>10341</v>
      </c>
      <c r="C3" s="850" t="s">
        <v>796</v>
      </c>
      <c r="D3" s="849">
        <f>SUMIF('数据-汇总表'!$C19:$C33,D1,'数据-汇总表'!$E19:$E33)</f>
        <v>48300.160000000003</v>
      </c>
      <c r="E3" s="1848" t="s">
        <v>2076</v>
      </c>
      <c r="F3" s="849">
        <f>SUMIF('数据-取费表'!A5:A15,D1,'数据-取费表'!AH5:AH15)</f>
        <v>1341</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65" t="s">
        <v>798</v>
      </c>
      <c r="D4" s="3366"/>
      <c r="E4" s="3365" t="s">
        <v>799</v>
      </c>
      <c r="F4" s="3366"/>
      <c r="G4" s="3365" t="s">
        <v>800</v>
      </c>
      <c r="H4" s="3366"/>
      <c r="I4" s="3365" t="s">
        <v>801</v>
      </c>
      <c r="J4" s="3366"/>
      <c r="K4" s="512" t="s">
        <v>802</v>
      </c>
      <c r="L4" s="2133"/>
      <c r="M4" s="2134"/>
      <c r="N4" s="2134"/>
      <c r="O4" s="2134"/>
      <c r="P4" s="3367" t="s">
        <v>803</v>
      </c>
      <c r="Q4" s="3368"/>
      <c r="R4" s="3373" t="s">
        <v>799</v>
      </c>
      <c r="S4" s="3374"/>
      <c r="T4" s="3373" t="s">
        <v>800</v>
      </c>
      <c r="U4" s="3374"/>
      <c r="V4" s="3360" t="s">
        <v>801</v>
      </c>
      <c r="W4" s="3360"/>
      <c r="X4" s="1566"/>
      <c r="Y4" s="3373" t="s">
        <v>803</v>
      </c>
      <c r="Z4" s="3374"/>
      <c r="AA4" s="3362" t="s">
        <v>799</v>
      </c>
      <c r="AB4" s="3363" t="s">
        <v>800</v>
      </c>
      <c r="AC4" s="3362" t="s">
        <v>801</v>
      </c>
    </row>
    <row r="5" spans="1:29" ht="15">
      <c r="A5" s="513"/>
      <c r="B5" s="514"/>
      <c r="C5" s="3381" t="s">
        <v>2915</v>
      </c>
      <c r="D5" s="3382"/>
      <c r="E5" s="3484" t="s">
        <v>3215</v>
      </c>
      <c r="F5" s="3382"/>
      <c r="G5" s="3484" t="s">
        <v>3200</v>
      </c>
      <c r="H5" s="3382"/>
      <c r="I5" s="3484" t="s">
        <v>3201</v>
      </c>
      <c r="J5" s="3382"/>
      <c r="K5" s="512"/>
      <c r="L5" s="2133"/>
      <c r="M5" s="2134"/>
      <c r="N5" s="2134"/>
      <c r="O5" s="2134"/>
      <c r="P5" s="3369"/>
      <c r="Q5" s="3370"/>
      <c r="R5" s="3375"/>
      <c r="S5" s="3376"/>
      <c r="T5" s="3375"/>
      <c r="U5" s="3376"/>
      <c r="V5" s="3360"/>
      <c r="W5" s="3360"/>
      <c r="X5" s="1566"/>
      <c r="Y5" s="3375"/>
      <c r="Z5" s="3376"/>
      <c r="AA5" s="3363"/>
      <c r="AB5" s="3363"/>
      <c r="AC5" s="3363"/>
    </row>
    <row r="6" spans="1:29" ht="15.75" thickBot="1">
      <c r="A6" s="515"/>
      <c r="B6" s="516"/>
      <c r="C6" s="3379" t="s">
        <v>2919</v>
      </c>
      <c r="D6" s="3380"/>
      <c r="E6" s="3383" t="s">
        <v>2919</v>
      </c>
      <c r="F6" s="3384"/>
      <c r="G6" s="3379" t="s">
        <v>2919</v>
      </c>
      <c r="H6" s="3380"/>
      <c r="I6" s="3379" t="s">
        <v>2919</v>
      </c>
      <c r="J6" s="3380"/>
      <c r="K6" s="512" t="s">
        <v>528</v>
      </c>
      <c r="L6" s="2133"/>
      <c r="M6" s="2134"/>
      <c r="N6" s="2134"/>
      <c r="O6" s="2134"/>
      <c r="P6" s="3371"/>
      <c r="Q6" s="3372"/>
      <c r="R6" s="3375"/>
      <c r="S6" s="3376"/>
      <c r="T6" s="3377"/>
      <c r="U6" s="3378"/>
      <c r="V6" s="3360"/>
      <c r="W6" s="3360"/>
      <c r="X6" s="1566"/>
      <c r="Y6" s="3377"/>
      <c r="Z6" s="3378"/>
      <c r="AA6" s="3364"/>
      <c r="AB6" s="3364"/>
      <c r="AC6" s="3364"/>
    </row>
    <row r="7" spans="1:29" s="1218" customFormat="1" ht="15.75" thickBot="1">
      <c r="A7" s="2912"/>
      <c r="B7" s="2919" t="s">
        <v>529</v>
      </c>
      <c r="C7" s="517">
        <f>'数据-取费表'!B2</f>
        <v>43384</v>
      </c>
      <c r="D7" s="518">
        <v>100</v>
      </c>
      <c r="E7" s="519">
        <v>43372</v>
      </c>
      <c r="F7" s="520">
        <f>SUMIF(48:48,YEAR(E7)&amp;"-"&amp;MONTH(E7),49:49)</f>
        <v>100</v>
      </c>
      <c r="G7" s="521">
        <v>43245</v>
      </c>
      <c r="H7" s="518">
        <f>SUMIF(48:48,YEAR(G7)&amp;"-"&amp;MONTH(G7),49:49)</f>
        <v>100</v>
      </c>
      <c r="I7" s="521">
        <v>43372</v>
      </c>
      <c r="J7" s="518">
        <f>SUMIF(48:48,YEAR(I7)&amp;"-"&amp;MONTH(I7),49:49)</f>
        <v>100</v>
      </c>
      <c r="K7" s="522"/>
      <c r="L7" s="2135"/>
      <c r="M7" s="2136"/>
      <c r="N7" s="2136"/>
      <c r="O7" s="2136"/>
      <c r="P7" s="3390" t="s">
        <v>530</v>
      </c>
      <c r="Q7" s="3392"/>
      <c r="R7" s="1567" t="s">
        <v>8</v>
      </c>
      <c r="S7" s="1568">
        <f t="shared" ref="S7:S14" si="0">F7</f>
        <v>100</v>
      </c>
      <c r="T7" s="1567" t="s">
        <v>8</v>
      </c>
      <c r="U7" s="1568">
        <f t="shared" ref="U7:U14" si="1">H7</f>
        <v>100</v>
      </c>
      <c r="V7" s="1567" t="s">
        <v>8</v>
      </c>
      <c r="W7" s="1568">
        <f t="shared" ref="W7:W14" si="2">J7</f>
        <v>100</v>
      </c>
      <c r="X7" s="1569"/>
      <c r="Y7" s="3390" t="s">
        <v>530</v>
      </c>
      <c r="Z7" s="3391"/>
      <c r="AA7" s="1570">
        <f>D7/F7</f>
        <v>1</v>
      </c>
      <c r="AB7" s="1570">
        <f>D7/H7</f>
        <v>1</v>
      </c>
      <c r="AC7" s="1570">
        <f>D7/J7</f>
        <v>1</v>
      </c>
    </row>
    <row r="8" spans="1:29" s="1218" customFormat="1" ht="15.75" thickBot="1">
      <c r="A8" s="2913"/>
      <c r="B8" s="2920" t="s">
        <v>531</v>
      </c>
      <c r="C8" s="523" t="s">
        <v>576</v>
      </c>
      <c r="D8" s="518">
        <v>100</v>
      </c>
      <c r="E8" s="523" t="s">
        <v>3202</v>
      </c>
      <c r="F8" s="520">
        <f>SUMIF(51:51,E8,52:52)-SUMIF(51:51,C8,52:52)+100</f>
        <v>100</v>
      </c>
      <c r="G8" s="523" t="s">
        <v>3202</v>
      </c>
      <c r="H8" s="518">
        <f>SUMIF(51:51,G8,52:52)-SUMIF(51:51,C8,52:52)+100</f>
        <v>100</v>
      </c>
      <c r="I8" s="523" t="s">
        <v>3202</v>
      </c>
      <c r="J8" s="518">
        <f>SUMIF(51:51,I8,52:52)-SUMIF(51:51,C8,52:52)+100</f>
        <v>100</v>
      </c>
      <c r="K8" s="522"/>
      <c r="L8" s="2135"/>
      <c r="M8" s="2136"/>
      <c r="N8" s="2136"/>
      <c r="O8" s="2136"/>
      <c r="P8" s="3390" t="s">
        <v>533</v>
      </c>
      <c r="Q8" s="3391"/>
      <c r="R8" s="1567" t="s">
        <v>8</v>
      </c>
      <c r="S8" s="1568">
        <f t="shared" si="0"/>
        <v>100</v>
      </c>
      <c r="T8" s="1567" t="s">
        <v>8</v>
      </c>
      <c r="U8" s="1568">
        <f t="shared" si="1"/>
        <v>100</v>
      </c>
      <c r="V8" s="1567" t="s">
        <v>8</v>
      </c>
      <c r="W8" s="1568">
        <f t="shared" si="2"/>
        <v>100</v>
      </c>
      <c r="X8" s="1569"/>
      <c r="Y8" s="3390" t="s">
        <v>533</v>
      </c>
      <c r="Z8" s="3391"/>
      <c r="AA8" s="1570">
        <f t="shared" ref="AA8:AA36" si="3">D8/F8</f>
        <v>1</v>
      </c>
      <c r="AB8" s="1570">
        <f t="shared" ref="AB8:AB36" si="4">D8/H8</f>
        <v>1</v>
      </c>
      <c r="AC8" s="1570">
        <f t="shared" ref="AC8:AC36" si="5">D8/J8</f>
        <v>1</v>
      </c>
    </row>
    <row r="9" spans="1:29" s="1218" customFormat="1" ht="15">
      <c r="A9" s="2914"/>
      <c r="B9" s="2921" t="s">
        <v>2753</v>
      </c>
      <c r="C9" s="3485" t="s">
        <v>3207</v>
      </c>
      <c r="D9" s="252">
        <v>100</v>
      </c>
      <c r="E9" s="858" t="s">
        <v>2981</v>
      </c>
      <c r="F9" s="252">
        <f>SUMIF(53:53,E9,54:54)-SUMIF(53:53,C9,54:54)+100</f>
        <v>100</v>
      </c>
      <c r="G9" s="858" t="s">
        <v>2981</v>
      </c>
      <c r="H9" s="252">
        <f>SUMIF(53:53,G9,54:54)-SUMIF(53:53,C9,54:54)+100</f>
        <v>100</v>
      </c>
      <c r="I9" s="858" t="s">
        <v>2981</v>
      </c>
      <c r="J9" s="252">
        <f>SUMIF(53:53,I9,54:54)-SUMIF(53:53,C9,54:54)+100</f>
        <v>100</v>
      </c>
      <c r="K9" s="522"/>
      <c r="L9" s="2135"/>
      <c r="M9" s="2136"/>
      <c r="N9" s="2136"/>
      <c r="O9" s="2137"/>
      <c r="P9" s="3359" t="s">
        <v>535</v>
      </c>
      <c r="Q9" s="1149" t="str">
        <f t="shared" ref="Q9:Q14" si="6">B9</f>
        <v>用途</v>
      </c>
      <c r="R9" s="1567" t="s">
        <v>8</v>
      </c>
      <c r="S9" s="1568">
        <f t="shared" si="0"/>
        <v>100</v>
      </c>
      <c r="T9" s="1567" t="s">
        <v>8</v>
      </c>
      <c r="U9" s="1568">
        <f t="shared" si="1"/>
        <v>100</v>
      </c>
      <c r="V9" s="1567" t="s">
        <v>8</v>
      </c>
      <c r="W9" s="1568">
        <f t="shared" si="2"/>
        <v>100</v>
      </c>
      <c r="X9" s="1569"/>
      <c r="Y9" s="3305" t="s">
        <v>536</v>
      </c>
      <c r="Z9" s="1148" t="str">
        <f t="shared" ref="Z9:Z14" si="7">Q9</f>
        <v>用途</v>
      </c>
      <c r="AA9" s="1570">
        <f t="shared" si="3"/>
        <v>1</v>
      </c>
      <c r="AB9" s="1570">
        <f t="shared" si="4"/>
        <v>1</v>
      </c>
      <c r="AC9" s="1570">
        <f t="shared" si="5"/>
        <v>1</v>
      </c>
    </row>
    <row r="10" spans="1:29" s="1336" customFormat="1" ht="27.75" thickBot="1">
      <c r="A10" s="2915"/>
      <c r="B10" s="2920" t="s">
        <v>2754</v>
      </c>
      <c r="C10" s="859" t="s">
        <v>3203</v>
      </c>
      <c r="D10" s="253">
        <v>100</v>
      </c>
      <c r="E10" s="859" t="s">
        <v>3203</v>
      </c>
      <c r="F10" s="253">
        <f>SUMIF(55:55,E10,56:56)-SUMIF(55:55,C10,56:56)+100</f>
        <v>100</v>
      </c>
      <c r="G10" s="859" t="s">
        <v>3203</v>
      </c>
      <c r="H10" s="253">
        <f>SUMIF(55:55,G10,56:56)-SUMIF(55:55,C10,56:56)+100</f>
        <v>100</v>
      </c>
      <c r="I10" s="859" t="s">
        <v>3203</v>
      </c>
      <c r="J10" s="253">
        <f>SUMIF(55:55,I10,56:56)-SUMIF(55:55,C10,56:56)+100</f>
        <v>100</v>
      </c>
      <c r="K10" s="582">
        <v>1</v>
      </c>
      <c r="L10" s="2138"/>
      <c r="M10" s="2178"/>
      <c r="N10" s="2178"/>
      <c r="O10" s="2139"/>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hidden="1">
      <c r="A11" s="2917"/>
      <c r="B11" s="2923">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359"/>
      <c r="Q11" s="1149">
        <f t="shared" si="6"/>
        <v>111</v>
      </c>
      <c r="R11" s="1567" t="s">
        <v>8</v>
      </c>
      <c r="S11" s="1568">
        <f t="shared" si="0"/>
        <v>100</v>
      </c>
      <c r="T11" s="1567" t="s">
        <v>8</v>
      </c>
      <c r="U11" s="1568">
        <f t="shared" si="1"/>
        <v>100</v>
      </c>
      <c r="V11" s="1567" t="s">
        <v>8</v>
      </c>
      <c r="W11" s="1568">
        <f t="shared" si="2"/>
        <v>100</v>
      </c>
      <c r="X11" s="1569"/>
      <c r="Y11" s="3305"/>
      <c r="Z11" s="1148">
        <f t="shared" si="7"/>
        <v>111</v>
      </c>
      <c r="AA11" s="1570">
        <f t="shared" si="3"/>
        <v>1</v>
      </c>
      <c r="AB11" s="1570">
        <f t="shared" si="4"/>
        <v>1</v>
      </c>
      <c r="AC11" s="1570">
        <f t="shared" si="5"/>
        <v>1</v>
      </c>
    </row>
    <row r="12" spans="1:29" s="1218" customFormat="1" ht="15" hidden="1">
      <c r="A12" s="2917"/>
      <c r="B12" s="2923">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359"/>
      <c r="Q12" s="1149">
        <f t="shared" si="6"/>
        <v>111</v>
      </c>
      <c r="R12" s="1567" t="s">
        <v>8</v>
      </c>
      <c r="S12" s="1568">
        <f t="shared" si="0"/>
        <v>100</v>
      </c>
      <c r="T12" s="1567" t="s">
        <v>8</v>
      </c>
      <c r="U12" s="1568">
        <f t="shared" si="1"/>
        <v>100</v>
      </c>
      <c r="V12" s="1567" t="s">
        <v>8</v>
      </c>
      <c r="W12" s="1568">
        <f t="shared" si="2"/>
        <v>100</v>
      </c>
      <c r="X12" s="1569"/>
      <c r="Y12" s="3305"/>
      <c r="Z12" s="1148">
        <f t="shared" si="7"/>
        <v>111</v>
      </c>
      <c r="AA12" s="1570">
        <f>D12/F12</f>
        <v>1</v>
      </c>
      <c r="AB12" s="1570">
        <f>D12/H12</f>
        <v>1</v>
      </c>
      <c r="AC12" s="1570">
        <f>D12/J12</f>
        <v>1</v>
      </c>
    </row>
    <row r="13" spans="1:29" ht="15.75" hidden="1" thickBot="1">
      <c r="A13" s="2918"/>
      <c r="B13" s="2924">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359"/>
      <c r="Q13" s="1149">
        <f t="shared" si="6"/>
        <v>111</v>
      </c>
      <c r="R13" s="1567" t="s">
        <v>8</v>
      </c>
      <c r="S13" s="1568">
        <f t="shared" si="0"/>
        <v>100</v>
      </c>
      <c r="T13" s="1567" t="s">
        <v>8</v>
      </c>
      <c r="U13" s="1568">
        <f t="shared" si="1"/>
        <v>100</v>
      </c>
      <c r="V13" s="1567" t="s">
        <v>8</v>
      </c>
      <c r="W13" s="1568">
        <f t="shared" si="2"/>
        <v>100</v>
      </c>
      <c r="X13" s="1569"/>
      <c r="Y13" s="3305"/>
      <c r="Z13" s="1148">
        <f t="shared" si="7"/>
        <v>111</v>
      </c>
      <c r="AA13" s="1570">
        <f t="shared" si="3"/>
        <v>1</v>
      </c>
      <c r="AB13" s="1570">
        <f t="shared" si="4"/>
        <v>1</v>
      </c>
      <c r="AC13" s="1570">
        <f t="shared" si="5"/>
        <v>1</v>
      </c>
    </row>
    <row r="14" spans="1:29" ht="15">
      <c r="A14" s="2910" t="s">
        <v>2751</v>
      </c>
      <c r="B14" s="545" t="s">
        <v>543</v>
      </c>
      <c r="C14" s="919" t="str">
        <f>IF(B1="工业",估价对象房地状况!G4,估价对象房地状况!C6)</f>
        <v>一般</v>
      </c>
      <c r="D14" s="547">
        <v>100</v>
      </c>
      <c r="E14" s="548"/>
      <c r="F14" s="549">
        <f>SUMIF(63:63,E15,64:64)-SUMIF(63:63,C15,64:64)+100</f>
        <v>102</v>
      </c>
      <c r="G14" s="550"/>
      <c r="H14" s="547">
        <f>SUMIF(63:63,G15,64:64)-SUMIF(63:63,C15,64:64)+100</f>
        <v>102</v>
      </c>
      <c r="I14" s="548"/>
      <c r="J14" s="547">
        <f>SUMIF(63:63,I15,64:64)-SUMIF(63:63,C15,64:64)+100</f>
        <v>102</v>
      </c>
      <c r="K14" s="896">
        <f>'比较法-住宅、综合'!K23</f>
        <v>1</v>
      </c>
      <c r="L14" s="2142"/>
      <c r="M14" s="2134"/>
      <c r="N14" s="2134"/>
      <c r="O14" s="2141"/>
      <c r="P14" s="3393" t="s">
        <v>540</v>
      </c>
      <c r="Q14" s="1571" t="str">
        <f t="shared" si="6"/>
        <v>交通便捷度</v>
      </c>
      <c r="R14" s="1572" t="s">
        <v>8</v>
      </c>
      <c r="S14" s="1573">
        <f t="shared" si="0"/>
        <v>102</v>
      </c>
      <c r="T14" s="1572" t="s">
        <v>8</v>
      </c>
      <c r="U14" s="1573">
        <f t="shared" si="1"/>
        <v>102</v>
      </c>
      <c r="V14" s="1572" t="s">
        <v>8</v>
      </c>
      <c r="W14" s="1573">
        <f t="shared" si="2"/>
        <v>102</v>
      </c>
      <c r="X14" s="1566"/>
      <c r="Y14" s="3393" t="s">
        <v>540</v>
      </c>
      <c r="Z14" s="1574" t="str">
        <f t="shared" si="7"/>
        <v>交通便捷度</v>
      </c>
      <c r="AA14" s="1575">
        <f t="shared" si="3"/>
        <v>0.98039215686274506</v>
      </c>
      <c r="AB14" s="1575">
        <f t="shared" si="4"/>
        <v>0.98039215686274506</v>
      </c>
      <c r="AC14" s="1575">
        <f t="shared" si="5"/>
        <v>0.98039215686274506</v>
      </c>
    </row>
    <row r="15" spans="1:29" ht="15">
      <c r="A15" s="513"/>
      <c r="B15" s="922"/>
      <c r="C15" s="574" t="s">
        <v>3167</v>
      </c>
      <c r="D15" s="553"/>
      <c r="E15" s="574" t="s">
        <v>3185</v>
      </c>
      <c r="F15" s="555"/>
      <c r="G15" s="574" t="s">
        <v>3185</v>
      </c>
      <c r="H15" s="557"/>
      <c r="I15" s="574" t="s">
        <v>3185</v>
      </c>
      <c r="J15" s="553"/>
      <c r="K15" s="897"/>
      <c r="L15" s="2142"/>
      <c r="M15" s="2134"/>
      <c r="N15" s="2134"/>
      <c r="O15" s="2141"/>
      <c r="P15" s="3394"/>
      <c r="Q15" s="1571"/>
      <c r="R15" s="1572"/>
      <c r="S15" s="1573"/>
      <c r="T15" s="1572"/>
      <c r="U15" s="1573"/>
      <c r="V15" s="1572"/>
      <c r="W15" s="1573"/>
      <c r="X15" s="1566"/>
      <c r="Y15" s="3394"/>
      <c r="Z15" s="1574"/>
      <c r="AA15" s="1575">
        <v>1</v>
      </c>
      <c r="AB15" s="1575">
        <v>1</v>
      </c>
      <c r="AC15" s="1575">
        <v>1</v>
      </c>
    </row>
    <row r="16" spans="1:29" ht="15">
      <c r="A16" s="513"/>
      <c r="B16" s="2603" t="s">
        <v>2544</v>
      </c>
      <c r="C16" s="870" t="str">
        <f>IF(B1="工业",估价对象房地状况!G5,估价对象房地状况!C7)</f>
        <v>一般</v>
      </c>
      <c r="D16" s="563">
        <v>100</v>
      </c>
      <c r="E16" s="570"/>
      <c r="F16" s="569">
        <f>SUMIF(65:65,E17,66:66)-SUMIF(65:65,C17,66:66)+100</f>
        <v>102</v>
      </c>
      <c r="G16" s="570"/>
      <c r="H16" s="563">
        <f>SUMIF(65:65,G17,66:66)-SUMIF(65:65,C17,66:66)+100</f>
        <v>102</v>
      </c>
      <c r="I16" s="568"/>
      <c r="J16" s="563">
        <f>SUMIF(65:65,I17,66:66)-SUMIF(65:65,C17,66:66)+100</f>
        <v>102</v>
      </c>
      <c r="K16" s="896">
        <f>'比较法-住宅、综合'!K29</f>
        <v>1</v>
      </c>
      <c r="L16" s="2142"/>
      <c r="M16" s="2134"/>
      <c r="N16" s="2134"/>
      <c r="O16" s="2141"/>
      <c r="P16" s="3394"/>
      <c r="Q16" s="1571" t="str">
        <f>B16</f>
        <v>公共配套设施</v>
      </c>
      <c r="R16" s="1572" t="s">
        <v>8</v>
      </c>
      <c r="S16" s="1573">
        <f>F16</f>
        <v>102</v>
      </c>
      <c r="T16" s="1572" t="s">
        <v>8</v>
      </c>
      <c r="U16" s="1573">
        <f>H16</f>
        <v>102</v>
      </c>
      <c r="V16" s="1572" t="s">
        <v>8</v>
      </c>
      <c r="W16" s="1573">
        <f>J16</f>
        <v>102</v>
      </c>
      <c r="X16" s="1566"/>
      <c r="Y16" s="3394"/>
      <c r="Z16" s="1574" t="str">
        <f>Q16</f>
        <v>公共配套设施</v>
      </c>
      <c r="AA16" s="1575">
        <f t="shared" si="3"/>
        <v>0.98039215686274506</v>
      </c>
      <c r="AB16" s="1575">
        <f t="shared" si="4"/>
        <v>0.98039215686274506</v>
      </c>
      <c r="AC16" s="1575">
        <f t="shared" si="5"/>
        <v>0.98039215686274506</v>
      </c>
    </row>
    <row r="17" spans="1:29" ht="15">
      <c r="A17" s="513"/>
      <c r="B17" s="564"/>
      <c r="C17" s="871" t="s">
        <v>3167</v>
      </c>
      <c r="D17" s="553"/>
      <c r="E17" s="871" t="s">
        <v>3185</v>
      </c>
      <c r="F17" s="555"/>
      <c r="G17" s="871" t="s">
        <v>3185</v>
      </c>
      <c r="H17" s="553"/>
      <c r="I17" s="871" t="s">
        <v>3185</v>
      </c>
      <c r="J17" s="553"/>
      <c r="K17" s="897"/>
      <c r="L17" s="2142"/>
      <c r="M17" s="2134"/>
      <c r="N17" s="2134"/>
      <c r="O17" s="2141"/>
      <c r="P17" s="3394"/>
      <c r="Q17" s="1571"/>
      <c r="R17" s="1572"/>
      <c r="S17" s="1573"/>
      <c r="T17" s="1572"/>
      <c r="U17" s="1573"/>
      <c r="V17" s="1572"/>
      <c r="W17" s="1573"/>
      <c r="X17" s="1566"/>
      <c r="Y17" s="3394"/>
      <c r="Z17" s="1574"/>
      <c r="AA17" s="1575">
        <v>1</v>
      </c>
      <c r="AB17" s="1575">
        <v>1</v>
      </c>
      <c r="AC17" s="1575">
        <v>1</v>
      </c>
    </row>
    <row r="18" spans="1:29" ht="15">
      <c r="A18" s="513"/>
      <c r="B18" s="2591" t="s">
        <v>2556</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42"/>
      <c r="M18" s="2134"/>
      <c r="N18" s="2134"/>
      <c r="O18" s="2141"/>
      <c r="P18" s="3394"/>
      <c r="Q18" s="2579" t="str">
        <f>B18</f>
        <v>基础设施水平</v>
      </c>
      <c r="R18" s="1572" t="s">
        <v>8</v>
      </c>
      <c r="S18" s="1573">
        <f>F18</f>
        <v>100</v>
      </c>
      <c r="T18" s="1572" t="s">
        <v>8</v>
      </c>
      <c r="U18" s="1573">
        <f>H18</f>
        <v>100</v>
      </c>
      <c r="V18" s="1572" t="s">
        <v>8</v>
      </c>
      <c r="W18" s="1573">
        <f>J18</f>
        <v>100</v>
      </c>
      <c r="X18" s="2581"/>
      <c r="Y18" s="3394"/>
      <c r="Z18" s="2580" t="str">
        <f>Q18</f>
        <v>基础设施水平</v>
      </c>
      <c r="AA18" s="1575">
        <f t="shared" ref="AA18" si="8">D18/F18</f>
        <v>1</v>
      </c>
      <c r="AB18" s="1575">
        <f t="shared" ref="AB18" si="9">D18/H18</f>
        <v>1</v>
      </c>
      <c r="AC18" s="1575">
        <f t="shared" ref="AC18" si="10">D18/J18</f>
        <v>1</v>
      </c>
    </row>
    <row r="19" spans="1:29" ht="15">
      <c r="A19" s="513"/>
      <c r="B19" s="576"/>
      <c r="C19" s="871" t="s">
        <v>3180</v>
      </c>
      <c r="D19" s="557"/>
      <c r="E19" s="871" t="s">
        <v>3180</v>
      </c>
      <c r="F19" s="555"/>
      <c r="G19" s="871" t="s">
        <v>3180</v>
      </c>
      <c r="H19" s="553"/>
      <c r="I19" s="871" t="s">
        <v>3180</v>
      </c>
      <c r="J19" s="553"/>
      <c r="K19" s="2602"/>
      <c r="L19" s="2142"/>
      <c r="M19" s="2134"/>
      <c r="N19" s="2134"/>
      <c r="O19" s="2141"/>
      <c r="P19" s="3394"/>
      <c r="Q19" s="2579"/>
      <c r="R19" s="1572"/>
      <c r="S19" s="1573"/>
      <c r="T19" s="1572"/>
      <c r="U19" s="1573"/>
      <c r="V19" s="1572"/>
      <c r="W19" s="1573"/>
      <c r="X19" s="2581"/>
      <c r="Y19" s="3394"/>
      <c r="Z19" s="2580"/>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102</v>
      </c>
      <c r="G20" s="562"/>
      <c r="H20" s="557">
        <f>SUMIF(69:69,G21,70:70)-SUMIF(69:69,C21,70:70)+100</f>
        <v>102</v>
      </c>
      <c r="I20" s="560"/>
      <c r="J20" s="557">
        <f>SUMIF(69:69,I21,70:70)-SUMIF(69:69,C21,70:70)+100</f>
        <v>102</v>
      </c>
      <c r="K20" s="896">
        <f>'比较法-住宅、综合'!K27</f>
        <v>1</v>
      </c>
      <c r="L20" s="2142"/>
      <c r="M20" s="2134"/>
      <c r="N20" s="2134"/>
      <c r="O20" s="2141"/>
      <c r="P20" s="3394"/>
      <c r="Q20" s="1571" t="str">
        <f>B20</f>
        <v>自然及人文环境</v>
      </c>
      <c r="R20" s="1572" t="s">
        <v>8</v>
      </c>
      <c r="S20" s="1573">
        <f>F20</f>
        <v>102</v>
      </c>
      <c r="T20" s="1572" t="s">
        <v>8</v>
      </c>
      <c r="U20" s="1573">
        <f>H20</f>
        <v>102</v>
      </c>
      <c r="V20" s="1572" t="s">
        <v>8</v>
      </c>
      <c r="W20" s="1573">
        <f>J20</f>
        <v>102</v>
      </c>
      <c r="X20" s="1566"/>
      <c r="Y20" s="3394"/>
      <c r="Z20" s="1574" t="str">
        <f>Q20</f>
        <v>自然及人文环境</v>
      </c>
      <c r="AA20" s="1575">
        <f t="shared" si="3"/>
        <v>0.98039215686274506</v>
      </c>
      <c r="AB20" s="1575">
        <f t="shared" si="4"/>
        <v>0.98039215686274506</v>
      </c>
      <c r="AC20" s="1575">
        <f t="shared" si="5"/>
        <v>0.98039215686274506</v>
      </c>
    </row>
    <row r="21" spans="1:29" ht="15">
      <c r="A21" s="513"/>
      <c r="B21" s="564"/>
      <c r="C21" s="574" t="s">
        <v>3167</v>
      </c>
      <c r="D21" s="553"/>
      <c r="E21" s="574" t="s">
        <v>3185</v>
      </c>
      <c r="F21" s="555"/>
      <c r="G21" s="574" t="s">
        <v>3185</v>
      </c>
      <c r="H21" s="553"/>
      <c r="I21" s="574" t="s">
        <v>3185</v>
      </c>
      <c r="J21" s="553"/>
      <c r="K21" s="897"/>
      <c r="L21" s="2142"/>
      <c r="M21" s="2134"/>
      <c r="N21" s="2134"/>
      <c r="O21" s="2141"/>
      <c r="P21" s="3394"/>
      <c r="Q21" s="1571"/>
      <c r="R21" s="1572"/>
      <c r="S21" s="1573"/>
      <c r="T21" s="1572"/>
      <c r="U21" s="1573"/>
      <c r="V21" s="1572"/>
      <c r="W21" s="1573"/>
      <c r="X21" s="1566"/>
      <c r="Y21" s="3394"/>
      <c r="Z21" s="1574"/>
      <c r="AA21" s="1575">
        <v>1</v>
      </c>
      <c r="AB21" s="1575">
        <v>1</v>
      </c>
      <c r="AC21" s="1575">
        <v>1</v>
      </c>
    </row>
    <row r="22" spans="1:29" ht="15.75" thickBot="1">
      <c r="A22" s="513"/>
      <c r="B22" s="558" t="s">
        <v>805</v>
      </c>
      <c r="C22" s="581" t="s">
        <v>2975</v>
      </c>
      <c r="D22" s="557">
        <v>100</v>
      </c>
      <c r="E22" s="581" t="s">
        <v>2975</v>
      </c>
      <c r="F22" s="573">
        <f>SUMIF(71:71,E22,72:72)-SUMIF(71:71,C22,72:72)+100</f>
        <v>100</v>
      </c>
      <c r="G22" s="581" t="s">
        <v>2975</v>
      </c>
      <c r="H22" s="538">
        <f>SUMIF(71:71,G22,72:72)-SUMIF(71:71,C22,72:72)+100</f>
        <v>100</v>
      </c>
      <c r="I22" s="581" t="s">
        <v>2975</v>
      </c>
      <c r="J22" s="538">
        <f>SUMIF(71:71,I22,72:72)-SUMIF(71:71,C22,72:72)+100</f>
        <v>100</v>
      </c>
      <c r="K22" s="582">
        <v>5</v>
      </c>
      <c r="L22" s="2142"/>
      <c r="M22" s="2134"/>
      <c r="N22" s="2134"/>
      <c r="O22" s="2141"/>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394"/>
      <c r="Q24" s="1571">
        <f t="shared" ref="Q24:Q36"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394"/>
      <c r="Q25" s="1149">
        <f t="shared" si="11"/>
        <v>111</v>
      </c>
      <c r="R25" s="1567" t="s">
        <v>8</v>
      </c>
      <c r="S25" s="1568">
        <f>F25</f>
        <v>100</v>
      </c>
      <c r="T25" s="1567" t="s">
        <v>8</v>
      </c>
      <c r="U25" s="1568">
        <f>H25</f>
        <v>100</v>
      </c>
      <c r="V25" s="1567" t="s">
        <v>8</v>
      </c>
      <c r="W25" s="1568">
        <f>J25</f>
        <v>100</v>
      </c>
      <c r="X25" s="1569"/>
      <c r="Y25" s="3394"/>
      <c r="Z25" s="1148">
        <f>Q25</f>
        <v>111</v>
      </c>
      <c r="AA25" s="1575">
        <f>D25/F25</f>
        <v>1</v>
      </c>
      <c r="AB25" s="1575">
        <f>D25/H25</f>
        <v>1</v>
      </c>
      <c r="AC25" s="1575">
        <f>D25/J25</f>
        <v>1</v>
      </c>
    </row>
    <row r="26" spans="1:29" ht="15">
      <c r="A26" s="2907" t="s">
        <v>2752</v>
      </c>
      <c r="B26" s="170"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5</v>
      </c>
      <c r="L26" s="2142"/>
      <c r="M26" s="2134"/>
      <c r="N26" s="2134"/>
      <c r="O26" s="2141"/>
      <c r="P26" s="339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6" t="s">
        <v>550</v>
      </c>
      <c r="Z26" s="1574" t="str">
        <f t="shared" ref="Z26:Z36" si="15">Q26</f>
        <v>配套类型</v>
      </c>
      <c r="AA26" s="1575">
        <f t="shared" si="3"/>
        <v>1</v>
      </c>
      <c r="AB26" s="1575">
        <f t="shared" si="4"/>
        <v>1</v>
      </c>
      <c r="AC26" s="1575">
        <f t="shared" si="5"/>
        <v>1</v>
      </c>
    </row>
    <row r="27" spans="1:29" s="1337" customFormat="1" ht="15">
      <c r="A27" s="927"/>
      <c r="B27" s="580" t="s">
        <v>807</v>
      </c>
      <c r="C27" s="928" t="s">
        <v>3216</v>
      </c>
      <c r="D27" s="253">
        <v>100</v>
      </c>
      <c r="E27" s="928" t="s">
        <v>3216</v>
      </c>
      <c r="F27" s="573">
        <f>SUMIF(81:81,E27,82:82)-SUMIF(81:81,C27,82:82)+100</f>
        <v>100</v>
      </c>
      <c r="G27" s="928" t="s">
        <v>3216</v>
      </c>
      <c r="H27" s="538">
        <f>SUMIF(81:81,G27,82:82)-SUMIF(81:81,C27,82:82)+100</f>
        <v>100</v>
      </c>
      <c r="I27" s="928" t="s">
        <v>3216</v>
      </c>
      <c r="J27" s="538">
        <f>SUMIF(81:81,I27,82:82)-SUMIF(81:81,C27,82:82)+100</f>
        <v>100</v>
      </c>
      <c r="K27" s="579"/>
      <c r="L27" s="2140"/>
      <c r="M27" s="2171"/>
      <c r="N27" s="2171"/>
      <c r="O27" s="2143"/>
      <c r="P27" s="3396"/>
      <c r="Q27" s="1604" t="str">
        <f t="shared" si="11"/>
        <v>项目停车位配比</v>
      </c>
      <c r="R27" s="1576" t="s">
        <v>8</v>
      </c>
      <c r="S27" s="1577">
        <f t="shared" si="12"/>
        <v>100</v>
      </c>
      <c r="T27" s="1576" t="s">
        <v>8</v>
      </c>
      <c r="U27" s="1577">
        <f t="shared" si="13"/>
        <v>100</v>
      </c>
      <c r="V27" s="1576" t="s">
        <v>8</v>
      </c>
      <c r="W27" s="1577">
        <f t="shared" si="14"/>
        <v>100</v>
      </c>
      <c r="X27" s="1578"/>
      <c r="Y27" s="3396"/>
      <c r="Z27" s="1579" t="str">
        <f t="shared" si="15"/>
        <v>项目停车位配比</v>
      </c>
      <c r="AA27" s="1575">
        <f t="shared" si="3"/>
        <v>1</v>
      </c>
      <c r="AB27" s="1575">
        <f t="shared" si="4"/>
        <v>1</v>
      </c>
      <c r="AC27" s="1575">
        <f t="shared" si="5"/>
        <v>1</v>
      </c>
    </row>
    <row r="28" spans="1:29" ht="15">
      <c r="A28" s="929"/>
      <c r="B28" s="580" t="s">
        <v>808</v>
      </c>
      <c r="C28" s="572" t="s">
        <v>3204</v>
      </c>
      <c r="D28" s="538">
        <v>100</v>
      </c>
      <c r="E28" s="572" t="s">
        <v>3204</v>
      </c>
      <c r="F28" s="573">
        <f>SUMIF(83:83,E28,84:84)-SUMIF(83:83,C28,84:84)+100</f>
        <v>100</v>
      </c>
      <c r="G28" s="572" t="s">
        <v>3204</v>
      </c>
      <c r="H28" s="538">
        <f>SUMIF(83:83,G28,84:84)-SUMIF(83:83,C28,84:84)+100</f>
        <v>100</v>
      </c>
      <c r="I28" s="572" t="s">
        <v>3204</v>
      </c>
      <c r="J28" s="538">
        <f>SUMIF(83:83,I28,84:84)-SUMIF(83:83,C28,84:84)+100</f>
        <v>100</v>
      </c>
      <c r="K28" s="582">
        <v>1</v>
      </c>
      <c r="L28" s="2142"/>
      <c r="M28" s="2134"/>
      <c r="N28" s="2134"/>
      <c r="O28" s="2141"/>
      <c r="P28" s="3396"/>
      <c r="Q28" s="1571" t="str">
        <f t="shared" si="11"/>
        <v>公共部分装修</v>
      </c>
      <c r="R28" s="1572" t="s">
        <v>8</v>
      </c>
      <c r="S28" s="1573">
        <f t="shared" si="12"/>
        <v>100</v>
      </c>
      <c r="T28" s="1572" t="s">
        <v>8</v>
      </c>
      <c r="U28" s="1573">
        <f t="shared" si="13"/>
        <v>100</v>
      </c>
      <c r="V28" s="1572" t="s">
        <v>8</v>
      </c>
      <c r="W28" s="1573">
        <f t="shared" si="14"/>
        <v>100</v>
      </c>
      <c r="X28" s="1566"/>
      <c r="Y28" s="3396"/>
      <c r="Z28" s="1574" t="str">
        <f t="shared" si="15"/>
        <v>公共部分装修</v>
      </c>
      <c r="AA28" s="1575">
        <f t="shared" si="3"/>
        <v>1</v>
      </c>
      <c r="AB28" s="1575">
        <f t="shared" si="4"/>
        <v>1</v>
      </c>
      <c r="AC28" s="1575">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2"/>
      <c r="M29" s="2134"/>
      <c r="N29" s="2134"/>
      <c r="O29" s="2141"/>
      <c r="P29" s="3396"/>
      <c r="Q29" s="1571" t="str">
        <f t="shared" si="11"/>
        <v>成新率</v>
      </c>
      <c r="R29" s="1572" t="s">
        <v>8</v>
      </c>
      <c r="S29" s="1573">
        <f t="shared" si="12"/>
        <v>100</v>
      </c>
      <c r="T29" s="1572" t="s">
        <v>8</v>
      </c>
      <c r="U29" s="1573">
        <f t="shared" si="13"/>
        <v>100</v>
      </c>
      <c r="V29" s="1572" t="s">
        <v>8</v>
      </c>
      <c r="W29" s="1573">
        <f t="shared" si="14"/>
        <v>100</v>
      </c>
      <c r="X29" s="1566"/>
      <c r="Y29" s="3396"/>
      <c r="Z29" s="1574" t="str">
        <f t="shared" si="15"/>
        <v>成新率</v>
      </c>
      <c r="AA29" s="1575">
        <f t="shared" si="3"/>
        <v>1</v>
      </c>
      <c r="AB29" s="1575">
        <f t="shared" si="4"/>
        <v>1</v>
      </c>
      <c r="AC29" s="1575">
        <f t="shared" si="5"/>
        <v>1</v>
      </c>
    </row>
    <row r="30" spans="1:29" ht="15">
      <c r="A30" s="929"/>
      <c r="B30" s="580" t="s">
        <v>810</v>
      </c>
      <c r="C30" s="930" t="s">
        <v>3212</v>
      </c>
      <c r="D30" s="538">
        <v>100</v>
      </c>
      <c r="E30" s="930" t="s">
        <v>3212</v>
      </c>
      <c r="F30" s="573">
        <f>SUMIF(88:88,E30,89:89)-SUMIF(88:88,C30,89:89)+100</f>
        <v>100</v>
      </c>
      <c r="G30" s="930" t="s">
        <v>3212</v>
      </c>
      <c r="H30" s="538">
        <f>SUMIF(88:88,E30,89:89)-SUMIF(88:88,C30,89:89)+100</f>
        <v>100</v>
      </c>
      <c r="I30" s="930" t="s">
        <v>3212</v>
      </c>
      <c r="J30" s="538">
        <f>SUMIF(88:88,E30,89:89)-SUMIF(88:88,C30,89:89)+100</f>
        <v>100</v>
      </c>
      <c r="K30" s="582">
        <v>1</v>
      </c>
      <c r="L30" s="2142"/>
      <c r="M30" s="2134"/>
      <c r="N30" s="2134"/>
      <c r="O30" s="2141"/>
      <c r="P30" s="3396"/>
      <c r="Q30" s="1571" t="str">
        <f t="shared" si="11"/>
        <v>物业等级</v>
      </c>
      <c r="R30" s="1572" t="s">
        <v>8</v>
      </c>
      <c r="S30" s="1573">
        <f t="shared" si="12"/>
        <v>100</v>
      </c>
      <c r="T30" s="1572" t="s">
        <v>8</v>
      </c>
      <c r="U30" s="1573">
        <f t="shared" si="13"/>
        <v>100</v>
      </c>
      <c r="V30" s="1572" t="s">
        <v>8</v>
      </c>
      <c r="W30" s="1573">
        <f t="shared" si="14"/>
        <v>100</v>
      </c>
      <c r="X30" s="1566"/>
      <c r="Y30" s="3396"/>
      <c r="Z30" s="1574" t="str">
        <f t="shared" si="15"/>
        <v>物业等级</v>
      </c>
      <c r="AA30" s="1575">
        <f t="shared" si="3"/>
        <v>1</v>
      </c>
      <c r="AB30" s="1575">
        <f t="shared" si="4"/>
        <v>1</v>
      </c>
      <c r="AC30" s="1575">
        <f t="shared" si="5"/>
        <v>1</v>
      </c>
    </row>
    <row r="31" spans="1:29" s="1218" customFormat="1" ht="15">
      <c r="A31" s="931"/>
      <c r="B31" s="580" t="s">
        <v>811</v>
      </c>
      <c r="C31" s="878">
        <f>ROUND(60414.16/1698,0)</f>
        <v>36</v>
      </c>
      <c r="D31" s="253">
        <v>100</v>
      </c>
      <c r="E31" s="878">
        <v>41</v>
      </c>
      <c r="F31" s="573">
        <f>LOOKUP(E31,91:91,92:92)-LOOKUP(C31,91:91,92:92)+100</f>
        <v>101</v>
      </c>
      <c r="G31" s="878">
        <v>31</v>
      </c>
      <c r="H31" s="538">
        <f>LOOKUP(G31,91:91,92:92)-LOOKUP(C31,91:91,92:92)+100</f>
        <v>99</v>
      </c>
      <c r="I31" s="878">
        <v>35</v>
      </c>
      <c r="J31" s="538">
        <f>LOOKUP(I31,91:91,92:92)-LOOKUP(C31,91:91,92:92)+100</f>
        <v>100</v>
      </c>
      <c r="K31" s="582">
        <v>1</v>
      </c>
      <c r="L31" s="2135"/>
      <c r="M31" s="2136"/>
      <c r="N31" s="2136"/>
      <c r="O31" s="2137"/>
      <c r="P31" s="3396"/>
      <c r="Q31" s="1149" t="str">
        <f t="shared" si="11"/>
        <v>停车位面积</v>
      </c>
      <c r="R31" s="1567" t="s">
        <v>8</v>
      </c>
      <c r="S31" s="1568">
        <f t="shared" si="12"/>
        <v>101</v>
      </c>
      <c r="T31" s="1567" t="s">
        <v>8</v>
      </c>
      <c r="U31" s="1568">
        <f t="shared" si="13"/>
        <v>99</v>
      </c>
      <c r="V31" s="1567" t="s">
        <v>8</v>
      </c>
      <c r="W31" s="1568">
        <f t="shared" si="14"/>
        <v>100</v>
      </c>
      <c r="X31" s="1569"/>
      <c r="Y31" s="3396"/>
      <c r="Z31" s="1148" t="str">
        <f t="shared" si="15"/>
        <v>停车位面积</v>
      </c>
      <c r="AA31" s="1570">
        <f t="shared" si="3"/>
        <v>0.99009900990099009</v>
      </c>
      <c r="AB31" s="1570">
        <f t="shared" si="4"/>
        <v>1.0101010101010102</v>
      </c>
      <c r="AC31" s="1570">
        <f t="shared" si="5"/>
        <v>1</v>
      </c>
    </row>
    <row r="32" spans="1:29" ht="15">
      <c r="A32" s="929"/>
      <c r="B32" s="580" t="s">
        <v>812</v>
      </c>
      <c r="C32" s="572" t="s">
        <v>3205</v>
      </c>
      <c r="D32" s="538">
        <v>100</v>
      </c>
      <c r="E32" s="572" t="s">
        <v>3205</v>
      </c>
      <c r="F32" s="573">
        <f>SUMIF(93:93,E32,94:94)-SUMIF(93:93,C32,94:94)+100</f>
        <v>100</v>
      </c>
      <c r="G32" s="572" t="s">
        <v>3205</v>
      </c>
      <c r="H32" s="538">
        <f>SUMIF(93:93,G32,94:94)-SUMIF(93:93,C32,94:94)+100</f>
        <v>100</v>
      </c>
      <c r="I32" s="572" t="s">
        <v>3205</v>
      </c>
      <c r="J32" s="538">
        <f>SUMIF(93:93,I32,94:94)-SUMIF(93:93,C32,94:94)+100</f>
        <v>100</v>
      </c>
      <c r="K32" s="582">
        <v>1</v>
      </c>
      <c r="L32" s="2142"/>
      <c r="M32" s="2134"/>
      <c r="N32" s="2134"/>
      <c r="O32" s="2141"/>
      <c r="P32" s="3396" t="s">
        <v>550</v>
      </c>
      <c r="Q32" s="1571" t="str">
        <f t="shared" si="11"/>
        <v>车位类型</v>
      </c>
      <c r="R32" s="1572" t="s">
        <v>8</v>
      </c>
      <c r="S32" s="1573">
        <f t="shared" si="12"/>
        <v>100</v>
      </c>
      <c r="T32" s="1572" t="s">
        <v>8</v>
      </c>
      <c r="U32" s="1573">
        <f t="shared" si="13"/>
        <v>100</v>
      </c>
      <c r="V32" s="1572" t="s">
        <v>8</v>
      </c>
      <c r="W32" s="1573">
        <f t="shared" si="14"/>
        <v>100</v>
      </c>
      <c r="X32" s="1566"/>
      <c r="Y32" s="3396" t="s">
        <v>550</v>
      </c>
      <c r="Z32" s="1574" t="str">
        <f t="shared" si="15"/>
        <v>车位类型</v>
      </c>
      <c r="AA32" s="1575">
        <f t="shared" si="3"/>
        <v>1</v>
      </c>
      <c r="AB32" s="1575">
        <f t="shared" si="4"/>
        <v>1</v>
      </c>
      <c r="AC32" s="1575">
        <f t="shared" si="5"/>
        <v>1</v>
      </c>
    </row>
    <row r="33" spans="1:29" ht="15.75" thickBot="1">
      <c r="A33" s="929"/>
      <c r="B33" s="580" t="s">
        <v>813</v>
      </c>
      <c r="C33" s="572" t="s">
        <v>3016</v>
      </c>
      <c r="D33" s="538">
        <v>100</v>
      </c>
      <c r="E33" s="572" t="s">
        <v>3016</v>
      </c>
      <c r="F33" s="573">
        <f>SUMIF(95:95,E33,96:96)-SUMIF(95:95,C33,96:96)+100</f>
        <v>100</v>
      </c>
      <c r="G33" s="572" t="s">
        <v>3016</v>
      </c>
      <c r="H33" s="538">
        <f>SUMIF(95:95,G33,96:96)-SUMIF(95:95,C33,96:96)+100</f>
        <v>100</v>
      </c>
      <c r="I33" s="572" t="s">
        <v>3016</v>
      </c>
      <c r="J33" s="538">
        <f>SUMIF(95:95,I33,96:96)-SUMIF(95:95,C33,96:96)+100</f>
        <v>100</v>
      </c>
      <c r="K33" s="582">
        <v>1</v>
      </c>
      <c r="L33" s="2142"/>
      <c r="M33" s="2134"/>
      <c r="N33" s="2134"/>
      <c r="O33" s="2141"/>
      <c r="P33" s="3396"/>
      <c r="Q33" s="1571" t="str">
        <f t="shared" si="11"/>
        <v>是否直接入户</v>
      </c>
      <c r="R33" s="1572" t="s">
        <v>8</v>
      </c>
      <c r="S33" s="1573">
        <f t="shared" si="12"/>
        <v>100</v>
      </c>
      <c r="T33" s="1572" t="s">
        <v>8</v>
      </c>
      <c r="U33" s="1573">
        <f t="shared" si="13"/>
        <v>100</v>
      </c>
      <c r="V33" s="1572" t="s">
        <v>8</v>
      </c>
      <c r="W33" s="1573">
        <f t="shared" si="14"/>
        <v>100</v>
      </c>
      <c r="X33" s="1566"/>
      <c r="Y33" s="3396"/>
      <c r="Z33" s="1574" t="str">
        <f t="shared" si="15"/>
        <v>是否直接入户</v>
      </c>
      <c r="AA33" s="1575">
        <f t="shared" si="3"/>
        <v>1</v>
      </c>
      <c r="AB33" s="1575">
        <f t="shared" si="4"/>
        <v>1</v>
      </c>
      <c r="AC33" s="1575">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396"/>
      <c r="Q35" s="1604">
        <f t="shared" si="11"/>
        <v>111</v>
      </c>
      <c r="R35" s="1576" t="s">
        <v>8</v>
      </c>
      <c r="S35" s="1577">
        <f t="shared" si="12"/>
        <v>100</v>
      </c>
      <c r="T35" s="1576" t="s">
        <v>8</v>
      </c>
      <c r="U35" s="1577">
        <f t="shared" si="13"/>
        <v>100</v>
      </c>
      <c r="V35" s="1576" t="s">
        <v>8</v>
      </c>
      <c r="W35" s="1577">
        <f t="shared" si="14"/>
        <v>100</v>
      </c>
      <c r="X35" s="1578"/>
      <c r="Y35" s="3396"/>
      <c r="Z35" s="1579">
        <f t="shared" si="15"/>
        <v>111</v>
      </c>
      <c r="AA35" s="1575">
        <f t="shared" si="3"/>
        <v>1</v>
      </c>
      <c r="AB35" s="1575">
        <f t="shared" si="4"/>
        <v>1</v>
      </c>
      <c r="AC35" s="1575">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396"/>
      <c r="Q36" s="1571">
        <f t="shared" si="11"/>
        <v>111</v>
      </c>
      <c r="R36" s="1572" t="s">
        <v>8</v>
      </c>
      <c r="S36" s="1573">
        <f t="shared" si="12"/>
        <v>100</v>
      </c>
      <c r="T36" s="1572" t="s">
        <v>8</v>
      </c>
      <c r="U36" s="1573">
        <f t="shared" si="13"/>
        <v>100</v>
      </c>
      <c r="V36" s="1572" t="s">
        <v>8</v>
      </c>
      <c r="W36" s="1573">
        <f t="shared" si="14"/>
        <v>100</v>
      </c>
      <c r="X36" s="1566"/>
      <c r="Y36" s="3396"/>
      <c r="Z36" s="1574">
        <f t="shared" si="15"/>
        <v>111</v>
      </c>
      <c r="AA36" s="1575">
        <f t="shared" si="3"/>
        <v>1</v>
      </c>
      <c r="AB36" s="1575">
        <f t="shared" si="4"/>
        <v>1</v>
      </c>
      <c r="AC36" s="1575">
        <f t="shared" si="5"/>
        <v>1</v>
      </c>
    </row>
    <row r="37" spans="1:29" ht="15">
      <c r="A37" s="1846" t="s">
        <v>2077</v>
      </c>
      <c r="B37" s="1847" t="s">
        <v>2078</v>
      </c>
      <c r="C37" s="2627" t="s">
        <v>1</v>
      </c>
      <c r="D37" s="2628"/>
      <c r="E37" s="2629">
        <v>11328</v>
      </c>
      <c r="F37" s="2630"/>
      <c r="G37" s="2631">
        <v>10164</v>
      </c>
      <c r="H37" s="2632"/>
      <c r="I37" s="2629">
        <v>11438</v>
      </c>
      <c r="J37" s="2632"/>
      <c r="K37" s="1610"/>
      <c r="L37" s="2144"/>
      <c r="M37" s="2145"/>
      <c r="N37" s="2134"/>
      <c r="O37" s="2145"/>
      <c r="P37" s="3359" t="str">
        <f>A37</f>
        <v>成交单价</v>
      </c>
      <c r="Q37" s="3359"/>
      <c r="R37" s="3449">
        <f>E37</f>
        <v>11328</v>
      </c>
      <c r="S37" s="3449"/>
      <c r="T37" s="3449">
        <f>G37</f>
        <v>10164</v>
      </c>
      <c r="U37" s="3449"/>
      <c r="V37" s="3449">
        <f>I37</f>
        <v>11438</v>
      </c>
      <c r="W37" s="3449"/>
      <c r="X37" s="1558"/>
      <c r="Y37" s="1580"/>
      <c r="Z37" s="1558"/>
      <c r="AA37" s="1558"/>
      <c r="AB37" s="1558"/>
      <c r="AC37" s="1558"/>
    </row>
    <row r="38" spans="1:29" ht="15.75" thickBot="1">
      <c r="A38" s="613" t="s">
        <v>2757</v>
      </c>
      <c r="B38" s="886"/>
      <c r="C38" s="2633">
        <f>R39</f>
        <v>10341</v>
      </c>
      <c r="D38" s="2634"/>
      <c r="E38" s="2635">
        <f>R38</f>
        <v>10569</v>
      </c>
      <c r="F38" s="2635"/>
      <c r="G38" s="2633">
        <f>T38</f>
        <v>9675</v>
      </c>
      <c r="H38" s="2634"/>
      <c r="I38" s="2635">
        <f>V38</f>
        <v>10778</v>
      </c>
      <c r="J38" s="2634"/>
      <c r="K38" s="1611"/>
      <c r="L38" s="2144"/>
      <c r="M38" s="2145"/>
      <c r="N38" s="2145"/>
      <c r="O38" s="2145"/>
      <c r="P38" s="3359" t="str">
        <f>A38</f>
        <v>比较价格（元/平方米）</v>
      </c>
      <c r="Q38" s="3359"/>
      <c r="R38" s="3449">
        <f>IF(F1="售价",ROUND(PRODUCT(R37,AA7:AA36),0),ROUND(PRODUCT(R37,AA7:AA36),1))</f>
        <v>10569</v>
      </c>
      <c r="S38" s="3449"/>
      <c r="T38" s="3449">
        <f>IF(F1="售价",ROUND(PRODUCT(T37,AB7:AB36),0),ROUND(PRODUCT(T37,AB7:AB36),1))</f>
        <v>9675</v>
      </c>
      <c r="U38" s="3449"/>
      <c r="V38" s="3449">
        <f>IF(F1="售价",ROUND(PRODUCT(V37,AC7:AC36),0),ROUND(PRODUCT(V37,AC7:AC36),1))</f>
        <v>10778</v>
      </c>
      <c r="W38" s="3449"/>
      <c r="X38" s="1558"/>
      <c r="Y38" s="1558"/>
      <c r="Z38" s="1558"/>
      <c r="AA38" s="1558"/>
      <c r="AB38" s="1558"/>
      <c r="AC38" s="1558"/>
    </row>
    <row r="39" spans="1:29" ht="15.75" thickBot="1">
      <c r="A39" s="619" t="s">
        <v>2921</v>
      </c>
      <c r="B39" s="620"/>
      <c r="C39" s="2636">
        <f>R39</f>
        <v>10341</v>
      </c>
      <c r="D39" s="2636"/>
      <c r="E39" s="2636"/>
      <c r="F39" s="2636"/>
      <c r="G39" s="2636"/>
      <c r="H39" s="2636"/>
      <c r="I39" s="2636"/>
      <c r="J39" s="2636"/>
      <c r="K39" s="1612"/>
      <c r="L39" s="2144"/>
      <c r="M39" s="2145"/>
      <c r="N39" s="2145"/>
      <c r="O39" s="2145"/>
      <c r="P39" s="3356" t="str">
        <f>A39</f>
        <v>估价对象XX用房的比较价格（楼面单价，元/平方米）</v>
      </c>
      <c r="Q39" s="3357"/>
      <c r="R39" s="3448">
        <f>IF(F1="售价",ROUND(AVERAGE(R38:V38),0),ROUND(AVERAGE(R38:V38),1))</f>
        <v>10341</v>
      </c>
      <c r="S39" s="3448"/>
      <c r="T39" s="3448"/>
      <c r="U39" s="3448"/>
      <c r="V39" s="3448"/>
      <c r="W39" s="344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f>IF(E37&lt;E38,E38/E37-1,E37/E38-1)</f>
        <v>7.1813795061027585E-2</v>
      </c>
      <c r="F42" s="625" t="str">
        <f>IF(OR(E42&gt;=0.3,E42&lt;=-0.3),"超过30%","")</f>
        <v/>
      </c>
      <c r="G42" s="624">
        <f>IF(G37&lt;G38,G38/G37-1,G37/G38-1)</f>
        <v>5.0542635658914703E-2</v>
      </c>
      <c r="H42" s="625" t="str">
        <f>IF(OR(G42&gt;=0.3,G42&lt;=-0.3),"超过30%","")</f>
        <v/>
      </c>
      <c r="I42" s="624">
        <f>IF(I37&lt;I38,I38/I37-1,I37/I38-1)</f>
        <v>6.1235850807199954E-2</v>
      </c>
      <c r="J42" s="625"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f>IF(E38&lt;G38,G38/E38-1,E38/G38-1)</f>
        <v>9.2403100775193758E-2</v>
      </c>
      <c r="F43" s="625" t="str">
        <f>IF(OR(E43&gt;=0.2,E43&lt;=-0.2),"超过20%","")</f>
        <v/>
      </c>
      <c r="G43" s="624">
        <f>IF(G38&lt;I38,I38/G38-1,G38/I38-1)</f>
        <v>0.11400516795865623</v>
      </c>
      <c r="H43" s="625" t="str">
        <f>IF(OR(G43&gt;=0.2,G43&lt;=-0.2),"超过20%","")</f>
        <v/>
      </c>
      <c r="I43" s="624">
        <f>IF(I38&lt;E38,E38/I38-1,I38/E38-1)</f>
        <v>1.9774813132746649E-2</v>
      </c>
      <c r="J43" s="625"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f>IF(E37&lt;G37,G37/E37-1,E37/G37-1)</f>
        <v>0.11452184179456903</v>
      </c>
      <c r="F44" s="625" t="str">
        <f>IF(OR(E44&gt;=0.3,E44&lt;=-0.3),"超过30%","")</f>
        <v/>
      </c>
      <c r="G44" s="624">
        <f>IF(G37&lt;I37,I37/G37-1,G37/I37-1)</f>
        <v>0.12534435261707988</v>
      </c>
      <c r="H44" s="625" t="str">
        <f>IF(OR(G44&gt;=0.3,G44&lt;=-0.3),"超过30%","")</f>
        <v/>
      </c>
      <c r="I44" s="624">
        <f>IF(I37&lt;E37,E37/I37-1,I37/E37-1)</f>
        <v>9.7104519774011688E-3</v>
      </c>
      <c r="J44" s="625"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8" customFormat="1" ht="15">
      <c r="A49" s="645"/>
      <c r="B49" s="646"/>
      <c r="C49" s="2803">
        <v>100</v>
      </c>
      <c r="D49" s="648">
        <v>100</v>
      </c>
      <c r="E49" s="648">
        <v>100</v>
      </c>
      <c r="F49" s="648">
        <v>100</v>
      </c>
      <c r="G49" s="648">
        <v>100</v>
      </c>
      <c r="H49" s="648">
        <v>100</v>
      </c>
      <c r="I49" s="648">
        <v>100</v>
      </c>
      <c r="J49" s="648">
        <v>100</v>
      </c>
      <c r="K49" s="648">
        <v>100</v>
      </c>
      <c r="L49" s="648">
        <v>100</v>
      </c>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t="str">
        <f>C9</f>
        <v>车库</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v>100</v>
      </c>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99</v>
      </c>
      <c r="E64" s="677">
        <f>D64-$K14</f>
        <v>98</v>
      </c>
      <c r="F64" s="677">
        <f>E64-$K14</f>
        <v>97</v>
      </c>
      <c r="G64" s="677">
        <f>F64-$K14</f>
        <v>96</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2555</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99</v>
      </c>
      <c r="E66" s="677">
        <f>D66-$K16</f>
        <v>98</v>
      </c>
      <c r="F66" s="677">
        <f>E66-$K16</f>
        <v>97</v>
      </c>
      <c r="G66" s="677">
        <f>F66-$K16</f>
        <v>96</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597" t="s">
        <v>2556</v>
      </c>
      <c r="C67" s="2598" t="s">
        <v>2557</v>
      </c>
      <c r="D67" s="2598" t="s">
        <v>2558</v>
      </c>
      <c r="E67" s="2598" t="s">
        <v>2559</v>
      </c>
      <c r="F67" s="2598" t="s">
        <v>2560</v>
      </c>
      <c r="G67" s="2598" t="s">
        <v>2561</v>
      </c>
      <c r="H67" s="672"/>
      <c r="I67" s="672"/>
      <c r="J67" s="672"/>
      <c r="K67" s="672"/>
      <c r="L67" s="672"/>
      <c r="M67" s="2601"/>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99</v>
      </c>
      <c r="E68" s="677">
        <f>D68-$K18</f>
        <v>98</v>
      </c>
      <c r="F68" s="677">
        <f>E68-$K18</f>
        <v>97</v>
      </c>
      <c r="G68" s="677">
        <f>F68-$K18</f>
        <v>96</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99</v>
      </c>
      <c r="E70" s="677">
        <f>D70-$K20</f>
        <v>98</v>
      </c>
      <c r="F70" s="677">
        <f>E70-$K20</f>
        <v>97</v>
      </c>
      <c r="G70" s="677">
        <f>F70-$K20</f>
        <v>96</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95</v>
      </c>
      <c r="E72" s="677">
        <f>D72-$K22</f>
        <v>90</v>
      </c>
      <c r="F72" s="677">
        <f>E72-$K22</f>
        <v>85</v>
      </c>
      <c r="G72" s="677">
        <f>F72-$K22</f>
        <v>80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t="str">
        <f>C26</f>
        <v>住宅</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3190" t="s">
        <v>3208</v>
      </c>
      <c r="D83" s="3190" t="s">
        <v>3209</v>
      </c>
      <c r="E83" s="3189" t="s">
        <v>3210</v>
      </c>
      <c r="F83" s="3189" t="s">
        <v>3211</v>
      </c>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3188" t="s">
        <v>3213</v>
      </c>
      <c r="D88" s="3188" t="s">
        <v>3214</v>
      </c>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50(含)-55</v>
      </c>
      <c r="L90" s="706" t="str">
        <f t="shared" si="21"/>
        <v>55(含)-60</v>
      </c>
      <c r="M90" s="709" t="str">
        <f>M91&amp;"(含)"&amp;"-"&amp;P91</f>
        <v>60(含)-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v>0</v>
      </c>
      <c r="D91" s="728">
        <v>15</v>
      </c>
      <c r="E91" s="728">
        <v>20</v>
      </c>
      <c r="F91" s="728">
        <v>25</v>
      </c>
      <c r="G91" s="728">
        <v>30</v>
      </c>
      <c r="H91" s="728">
        <v>35</v>
      </c>
      <c r="I91" s="728">
        <v>40</v>
      </c>
      <c r="J91" s="729">
        <v>45</v>
      </c>
      <c r="K91" s="729">
        <v>50</v>
      </c>
      <c r="L91" s="730">
        <v>55</v>
      </c>
      <c r="M91" s="731">
        <v>60</v>
      </c>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v>100</v>
      </c>
      <c r="D92" s="669">
        <f>C92+1</f>
        <v>101</v>
      </c>
      <c r="E92" s="669">
        <f t="shared" ref="E92:L92" si="22">D92+1</f>
        <v>102</v>
      </c>
      <c r="F92" s="669">
        <f t="shared" si="22"/>
        <v>103</v>
      </c>
      <c r="G92" s="669">
        <f t="shared" si="22"/>
        <v>104</v>
      </c>
      <c r="H92" s="669">
        <f t="shared" si="22"/>
        <v>105</v>
      </c>
      <c r="I92" s="669">
        <f t="shared" si="22"/>
        <v>106</v>
      </c>
      <c r="J92" s="669">
        <f t="shared" si="22"/>
        <v>107</v>
      </c>
      <c r="K92" s="669">
        <f t="shared" si="22"/>
        <v>108</v>
      </c>
      <c r="L92" s="669">
        <f t="shared" si="22"/>
        <v>109</v>
      </c>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3">C94-$K32</f>
        <v>99</v>
      </c>
      <c r="E94" s="677">
        <f t="shared" si="23"/>
        <v>98</v>
      </c>
      <c r="F94" s="677">
        <f t="shared" si="23"/>
        <v>97</v>
      </c>
      <c r="G94" s="677">
        <f t="shared" si="23"/>
        <v>96</v>
      </c>
      <c r="H94" s="677">
        <f t="shared" si="23"/>
        <v>95</v>
      </c>
      <c r="I94" s="677">
        <f t="shared" si="23"/>
        <v>94</v>
      </c>
      <c r="J94" s="677">
        <f t="shared" si="23"/>
        <v>93</v>
      </c>
      <c r="K94" s="677">
        <f t="shared" si="23"/>
        <v>92</v>
      </c>
      <c r="L94" s="677">
        <f t="shared" si="23"/>
        <v>91</v>
      </c>
      <c r="M94" s="678">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99</v>
      </c>
      <c r="E96" s="677">
        <f>D96-$K33</f>
        <v>98</v>
      </c>
      <c r="F96" s="677">
        <f>E96-$K33</f>
        <v>97</v>
      </c>
      <c r="G96" s="677">
        <f>F96-$K33</f>
        <v>96</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35" sqref="M35"/>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7"/>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365" t="s">
        <v>798</v>
      </c>
      <c r="D4" s="3366"/>
      <c r="E4" s="3399" t="s">
        <v>799</v>
      </c>
      <c r="F4" s="3400"/>
      <c r="G4" s="3365" t="s">
        <v>800</v>
      </c>
      <c r="H4" s="3366"/>
      <c r="I4" s="3365" t="s">
        <v>801</v>
      </c>
      <c r="J4" s="3366"/>
      <c r="K4" s="512" t="s">
        <v>802</v>
      </c>
      <c r="L4" s="2133"/>
      <c r="M4" s="2134"/>
      <c r="N4" s="2134"/>
      <c r="O4" s="2134"/>
      <c r="P4" s="3367" t="s">
        <v>803</v>
      </c>
      <c r="Q4" s="3368"/>
      <c r="R4" s="3373" t="s">
        <v>799</v>
      </c>
      <c r="S4" s="3374"/>
      <c r="T4" s="3373" t="s">
        <v>800</v>
      </c>
      <c r="U4" s="3374"/>
      <c r="V4" s="3360" t="s">
        <v>801</v>
      </c>
      <c r="W4" s="3360"/>
      <c r="X4" s="1566"/>
      <c r="Y4" s="3373" t="s">
        <v>803</v>
      </c>
      <c r="Z4" s="3374"/>
      <c r="AA4" s="3362" t="s">
        <v>799</v>
      </c>
      <c r="AB4" s="3363" t="s">
        <v>800</v>
      </c>
      <c r="AC4" s="3362" t="s">
        <v>801</v>
      </c>
    </row>
    <row r="5" spans="1:29" ht="15">
      <c r="A5" s="513"/>
      <c r="B5" s="514"/>
      <c r="C5" s="3381" t="s">
        <v>2915</v>
      </c>
      <c r="D5" s="3382"/>
      <c r="E5" s="3401" t="s">
        <v>2916</v>
      </c>
      <c r="F5" s="3402"/>
      <c r="G5" s="3381" t="s">
        <v>2917</v>
      </c>
      <c r="H5" s="3382"/>
      <c r="I5" s="3381" t="s">
        <v>2918</v>
      </c>
      <c r="J5" s="3382"/>
      <c r="K5" s="512"/>
      <c r="L5" s="2133"/>
      <c r="M5" s="2134"/>
      <c r="N5" s="2134"/>
      <c r="O5" s="2134"/>
      <c r="P5" s="3369"/>
      <c r="Q5" s="3370"/>
      <c r="R5" s="3375"/>
      <c r="S5" s="3376"/>
      <c r="T5" s="3375"/>
      <c r="U5" s="3376"/>
      <c r="V5" s="3360"/>
      <c r="W5" s="3360"/>
      <c r="X5" s="1566"/>
      <c r="Y5" s="3375"/>
      <c r="Z5" s="3376"/>
      <c r="AA5" s="3363"/>
      <c r="AB5" s="3363"/>
      <c r="AC5" s="3363"/>
    </row>
    <row r="6" spans="1:29" ht="15.75" thickBot="1">
      <c r="A6" s="515"/>
      <c r="B6" s="516"/>
      <c r="C6" s="3379" t="s">
        <v>2919</v>
      </c>
      <c r="D6" s="3380"/>
      <c r="E6" s="3397" t="s">
        <v>2919</v>
      </c>
      <c r="F6" s="3398"/>
      <c r="G6" s="3379" t="s">
        <v>2919</v>
      </c>
      <c r="H6" s="3380"/>
      <c r="I6" s="3379" t="s">
        <v>2919</v>
      </c>
      <c r="J6" s="3380"/>
      <c r="K6" s="512" t="s">
        <v>528</v>
      </c>
      <c r="L6" s="2133"/>
      <c r="M6" s="2134"/>
      <c r="N6" s="2134"/>
      <c r="O6" s="2134"/>
      <c r="P6" s="3371"/>
      <c r="Q6" s="3372"/>
      <c r="R6" s="3375"/>
      <c r="S6" s="3376"/>
      <c r="T6" s="3377"/>
      <c r="U6" s="3378"/>
      <c r="V6" s="3360"/>
      <c r="W6" s="3360"/>
      <c r="X6" s="1566"/>
      <c r="Y6" s="3377"/>
      <c r="Z6" s="3378"/>
      <c r="AA6" s="3364"/>
      <c r="AB6" s="3364"/>
      <c r="AC6" s="3364"/>
    </row>
    <row r="7" spans="1:29" s="1218" customFormat="1" ht="15.75" thickBot="1">
      <c r="A7" s="2912"/>
      <c r="B7" s="2919" t="s">
        <v>529</v>
      </c>
      <c r="C7" s="517">
        <f>'数据-取费表'!B2</f>
        <v>43384</v>
      </c>
      <c r="D7" s="518">
        <v>100</v>
      </c>
      <c r="E7" s="519"/>
      <c r="F7" s="520">
        <f>SUMIF(46:46,YEAR(E7)&amp;"-"&amp;MONTH(E7),47:47)</f>
        <v>0</v>
      </c>
      <c r="G7" s="521"/>
      <c r="H7" s="518">
        <f>SUMIF(46:46,YEAR(G7)&amp;"-"&amp;MONTH(G7),47:47)</f>
        <v>0</v>
      </c>
      <c r="I7" s="521"/>
      <c r="J7" s="518">
        <f>SUMIF(46:46,YEAR(I7)&amp;"-"&amp;MONTH(I7),47:47)</f>
        <v>0</v>
      </c>
      <c r="K7" s="522"/>
      <c r="L7" s="2135"/>
      <c r="M7" s="2136"/>
      <c r="N7" s="2136"/>
      <c r="O7" s="2136"/>
      <c r="P7" s="3390" t="s">
        <v>530</v>
      </c>
      <c r="Q7" s="3392"/>
      <c r="R7" s="1567" t="s">
        <v>8</v>
      </c>
      <c r="S7" s="1568">
        <f t="shared" ref="S7:S14" si="0">F7</f>
        <v>0</v>
      </c>
      <c r="T7" s="1567" t="s">
        <v>8</v>
      </c>
      <c r="U7" s="1568">
        <f t="shared" ref="U7:U14" si="1">H7</f>
        <v>0</v>
      </c>
      <c r="V7" s="1567" t="s">
        <v>8</v>
      </c>
      <c r="W7" s="1568">
        <f t="shared" ref="W7:W14" si="2">J7</f>
        <v>0</v>
      </c>
      <c r="X7" s="1569"/>
      <c r="Y7" s="3390" t="s">
        <v>530</v>
      </c>
      <c r="Z7" s="3391"/>
      <c r="AA7" s="1570" t="e">
        <f>D7/F7</f>
        <v>#DIV/0!</v>
      </c>
      <c r="AB7" s="1570" t="e">
        <f>D7/H7</f>
        <v>#DIV/0!</v>
      </c>
      <c r="AC7" s="1570" t="e">
        <f>D7/J7</f>
        <v>#DIV/0!</v>
      </c>
    </row>
    <row r="8" spans="1:29" s="1218" customFormat="1" ht="15.75" thickBot="1">
      <c r="A8" s="2913"/>
      <c r="B8" s="2920"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390" t="s">
        <v>533</v>
      </c>
      <c r="Q8" s="3391"/>
      <c r="R8" s="1567" t="s">
        <v>8</v>
      </c>
      <c r="S8" s="1568">
        <f t="shared" si="0"/>
        <v>0</v>
      </c>
      <c r="T8" s="1567" t="s">
        <v>8</v>
      </c>
      <c r="U8" s="1568">
        <f t="shared" si="1"/>
        <v>0</v>
      </c>
      <c r="V8" s="1567" t="s">
        <v>8</v>
      </c>
      <c r="W8" s="1568">
        <f t="shared" si="2"/>
        <v>0</v>
      </c>
      <c r="X8" s="1569"/>
      <c r="Y8" s="3390" t="s">
        <v>533</v>
      </c>
      <c r="Z8" s="3391"/>
      <c r="AA8" s="1570" t="e">
        <f t="shared" ref="AA8:AA34" si="3">D8/F8</f>
        <v>#DIV/0!</v>
      </c>
      <c r="AB8" s="1570" t="e">
        <f t="shared" ref="AB8:AB34" si="4">D8/H8</f>
        <v>#DIV/0!</v>
      </c>
      <c r="AC8" s="1570" t="e">
        <f t="shared" ref="AC8:AC34" si="5">D8/J8</f>
        <v>#DIV/0!</v>
      </c>
    </row>
    <row r="9" spans="1:29" s="1218" customFormat="1" ht="15">
      <c r="A9" s="2914"/>
      <c r="B9" s="2921" t="s">
        <v>2753</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359" t="s">
        <v>535</v>
      </c>
      <c r="Q9" s="1149" t="str">
        <f t="shared" ref="Q9:Q14" si="6">B9</f>
        <v>用途</v>
      </c>
      <c r="R9" s="1567" t="s">
        <v>8</v>
      </c>
      <c r="S9" s="1568">
        <f t="shared" si="0"/>
        <v>100</v>
      </c>
      <c r="T9" s="1567" t="s">
        <v>8</v>
      </c>
      <c r="U9" s="1568">
        <f t="shared" si="1"/>
        <v>100</v>
      </c>
      <c r="V9" s="1567" t="s">
        <v>8</v>
      </c>
      <c r="W9" s="1568">
        <f t="shared" si="2"/>
        <v>100</v>
      </c>
      <c r="X9" s="1569"/>
      <c r="Y9" s="3305" t="s">
        <v>536</v>
      </c>
      <c r="Z9" s="1148" t="str">
        <f t="shared" ref="Z9:Z14" si="7">Q9</f>
        <v>用途</v>
      </c>
      <c r="AA9" s="1570">
        <f t="shared" si="3"/>
        <v>1</v>
      </c>
      <c r="AB9" s="1570">
        <f t="shared" si="4"/>
        <v>1</v>
      </c>
      <c r="AC9" s="1570">
        <f t="shared" si="5"/>
        <v>1</v>
      </c>
    </row>
    <row r="10" spans="1:29" s="1336" customFormat="1" ht="27">
      <c r="A10" s="2915"/>
      <c r="B10" s="2920" t="s">
        <v>2754</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359"/>
      <c r="Q10" s="1149" t="str">
        <f t="shared" si="6"/>
        <v>土地使用年限（年）</v>
      </c>
      <c r="R10" s="1567" t="s">
        <v>8</v>
      </c>
      <c r="S10" s="1568">
        <f t="shared" si="0"/>
        <v>100</v>
      </c>
      <c r="T10" s="1567" t="s">
        <v>8</v>
      </c>
      <c r="U10" s="1568">
        <f t="shared" si="1"/>
        <v>100</v>
      </c>
      <c r="V10" s="1567" t="s">
        <v>8</v>
      </c>
      <c r="W10" s="1568">
        <f t="shared" si="2"/>
        <v>100</v>
      </c>
      <c r="X10" s="1569"/>
      <c r="Y10" s="3305"/>
      <c r="Z10" s="1148" t="str">
        <f t="shared" si="7"/>
        <v>土地使用年限（年）</v>
      </c>
      <c r="AA10" s="1570">
        <f t="shared" si="3"/>
        <v>1</v>
      </c>
      <c r="AB10" s="1570">
        <f t="shared" si="4"/>
        <v>1</v>
      </c>
      <c r="AC10" s="1570">
        <f t="shared" si="5"/>
        <v>1</v>
      </c>
    </row>
    <row r="11" spans="1:29" ht="15">
      <c r="A11" s="2917"/>
      <c r="B11" s="2923">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359"/>
      <c r="Q11" s="1149">
        <f t="shared" si="6"/>
        <v>111</v>
      </c>
      <c r="R11" s="1567" t="s">
        <v>8</v>
      </c>
      <c r="S11" s="1568">
        <f t="shared" si="0"/>
        <v>100</v>
      </c>
      <c r="T11" s="1567" t="s">
        <v>8</v>
      </c>
      <c r="U11" s="1568">
        <f t="shared" si="1"/>
        <v>100</v>
      </c>
      <c r="V11" s="1567" t="s">
        <v>8</v>
      </c>
      <c r="W11" s="1568">
        <f t="shared" si="2"/>
        <v>100</v>
      </c>
      <c r="X11" s="1569"/>
      <c r="Y11" s="3305"/>
      <c r="Z11" s="1148">
        <f t="shared" si="7"/>
        <v>111</v>
      </c>
      <c r="AA11" s="1570">
        <f t="shared" si="3"/>
        <v>1</v>
      </c>
      <c r="AB11" s="1570">
        <f t="shared" si="4"/>
        <v>1</v>
      </c>
      <c r="AC11" s="1570">
        <f t="shared" si="5"/>
        <v>1</v>
      </c>
    </row>
    <row r="12" spans="1:29" s="1218" customFormat="1" ht="15">
      <c r="A12" s="2917"/>
      <c r="B12" s="2923">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359"/>
      <c r="Q12" s="1149">
        <f t="shared" si="6"/>
        <v>111</v>
      </c>
      <c r="R12" s="1567" t="s">
        <v>8</v>
      </c>
      <c r="S12" s="1568">
        <f t="shared" si="0"/>
        <v>100</v>
      </c>
      <c r="T12" s="1567" t="s">
        <v>8</v>
      </c>
      <c r="U12" s="1568">
        <f t="shared" si="1"/>
        <v>100</v>
      </c>
      <c r="V12" s="1567" t="s">
        <v>8</v>
      </c>
      <c r="W12" s="1568">
        <f t="shared" si="2"/>
        <v>100</v>
      </c>
      <c r="X12" s="1569"/>
      <c r="Y12" s="3305"/>
      <c r="Z12" s="1148">
        <f t="shared" si="7"/>
        <v>111</v>
      </c>
      <c r="AA12" s="1570">
        <f>D12/F12</f>
        <v>1</v>
      </c>
      <c r="AB12" s="1570">
        <f>D12/H12</f>
        <v>1</v>
      </c>
      <c r="AC12" s="1570">
        <f>D12/J12</f>
        <v>1</v>
      </c>
    </row>
    <row r="13" spans="1:29" ht="15.75" thickBot="1">
      <c r="A13" s="2918"/>
      <c r="B13" s="2924">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359"/>
      <c r="Q13" s="1149">
        <f t="shared" si="6"/>
        <v>111</v>
      </c>
      <c r="R13" s="1567" t="s">
        <v>8</v>
      </c>
      <c r="S13" s="1568">
        <f t="shared" si="0"/>
        <v>100</v>
      </c>
      <c r="T13" s="1567" t="s">
        <v>8</v>
      </c>
      <c r="U13" s="1568">
        <f t="shared" si="1"/>
        <v>100</v>
      </c>
      <c r="V13" s="1567" t="s">
        <v>8</v>
      </c>
      <c r="W13" s="1568">
        <f t="shared" si="2"/>
        <v>100</v>
      </c>
      <c r="X13" s="1569"/>
      <c r="Y13" s="3305"/>
      <c r="Z13" s="1148">
        <f t="shared" si="7"/>
        <v>111</v>
      </c>
      <c r="AA13" s="1570">
        <f t="shared" si="3"/>
        <v>1</v>
      </c>
      <c r="AB13" s="1570">
        <f t="shared" si="4"/>
        <v>1</v>
      </c>
      <c r="AC13" s="1570">
        <f t="shared" si="5"/>
        <v>1</v>
      </c>
    </row>
    <row r="14" spans="1:29" ht="15">
      <c r="A14" s="2910" t="s">
        <v>2751</v>
      </c>
      <c r="B14" s="166"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393" t="s">
        <v>540</v>
      </c>
      <c r="Q14" s="1571" t="str">
        <f t="shared" si="6"/>
        <v>交通便捷度</v>
      </c>
      <c r="R14" s="1572" t="s">
        <v>8</v>
      </c>
      <c r="S14" s="1573">
        <f t="shared" si="0"/>
        <v>100</v>
      </c>
      <c r="T14" s="1572" t="s">
        <v>8</v>
      </c>
      <c r="U14" s="1573">
        <f t="shared" si="1"/>
        <v>100</v>
      </c>
      <c r="V14" s="1572" t="s">
        <v>8</v>
      </c>
      <c r="W14" s="1573">
        <f t="shared" si="2"/>
        <v>100</v>
      </c>
      <c r="X14" s="1566"/>
      <c r="Y14" s="3393"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394"/>
      <c r="Q15" s="1571"/>
      <c r="R15" s="1572"/>
      <c r="S15" s="1573"/>
      <c r="T15" s="1572"/>
      <c r="U15" s="1573"/>
      <c r="V15" s="1572"/>
      <c r="W15" s="1573"/>
      <c r="X15" s="1566"/>
      <c r="Y15" s="3394"/>
      <c r="Z15" s="1574"/>
      <c r="AA15" s="1575">
        <v>1</v>
      </c>
      <c r="AB15" s="1575">
        <v>1</v>
      </c>
      <c r="AC15" s="1575">
        <v>1</v>
      </c>
    </row>
    <row r="16" spans="1:29" ht="15">
      <c r="A16" s="530"/>
      <c r="B16" s="2603" t="s">
        <v>2544</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394"/>
      <c r="Q16" s="1571" t="str">
        <f>B16</f>
        <v>公共配套设施</v>
      </c>
      <c r="R16" s="1572" t="s">
        <v>8</v>
      </c>
      <c r="S16" s="1573">
        <f>F16</f>
        <v>100</v>
      </c>
      <c r="T16" s="1572" t="s">
        <v>8</v>
      </c>
      <c r="U16" s="1573">
        <f>H16</f>
        <v>100</v>
      </c>
      <c r="V16" s="1572" t="s">
        <v>8</v>
      </c>
      <c r="W16" s="1573">
        <f>J16</f>
        <v>100</v>
      </c>
      <c r="X16" s="1566"/>
      <c r="Y16" s="3394"/>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394"/>
      <c r="Q17" s="1571"/>
      <c r="R17" s="1572"/>
      <c r="S17" s="1573"/>
      <c r="T17" s="1572"/>
      <c r="U17" s="1573"/>
      <c r="V17" s="1572"/>
      <c r="W17" s="1573"/>
      <c r="X17" s="1566"/>
      <c r="Y17" s="3394"/>
      <c r="Z17" s="1574"/>
      <c r="AA17" s="1575">
        <v>1</v>
      </c>
      <c r="AB17" s="1575">
        <v>1</v>
      </c>
      <c r="AC17" s="1575">
        <v>1</v>
      </c>
    </row>
    <row r="18" spans="1:29" ht="15">
      <c r="A18" s="530"/>
      <c r="B18" s="2591" t="s">
        <v>2556</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394"/>
      <c r="Q18" s="2579" t="str">
        <f>B18</f>
        <v>基础设施水平</v>
      </c>
      <c r="R18" s="1572" t="s">
        <v>8</v>
      </c>
      <c r="S18" s="1573">
        <f>F18</f>
        <v>100</v>
      </c>
      <c r="T18" s="1572" t="s">
        <v>8</v>
      </c>
      <c r="U18" s="1573">
        <f>H18</f>
        <v>100</v>
      </c>
      <c r="V18" s="1572" t="s">
        <v>8</v>
      </c>
      <c r="W18" s="1573">
        <f>J18</f>
        <v>100</v>
      </c>
      <c r="X18" s="2581"/>
      <c r="Y18" s="3394"/>
      <c r="Z18" s="2580"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2"/>
      <c r="L19" s="2142"/>
      <c r="M19" s="2134"/>
      <c r="N19" s="2134"/>
      <c r="O19" s="2141"/>
      <c r="P19" s="3394"/>
      <c r="Q19" s="2579"/>
      <c r="R19" s="1572"/>
      <c r="S19" s="1573"/>
      <c r="T19" s="1572"/>
      <c r="U19" s="1573"/>
      <c r="V19" s="1572"/>
      <c r="W19" s="1573"/>
      <c r="X19" s="2581"/>
      <c r="Y19" s="3394"/>
      <c r="Z19" s="2580"/>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394"/>
      <c r="Q20" s="1571" t="str">
        <f>B20</f>
        <v>自然及人文环境</v>
      </c>
      <c r="R20" s="1572" t="s">
        <v>8</v>
      </c>
      <c r="S20" s="1573">
        <f>F20</f>
        <v>100</v>
      </c>
      <c r="T20" s="1572" t="s">
        <v>8</v>
      </c>
      <c r="U20" s="1573">
        <f>H20</f>
        <v>100</v>
      </c>
      <c r="V20" s="1572" t="s">
        <v>8</v>
      </c>
      <c r="W20" s="1573">
        <f>J20</f>
        <v>100</v>
      </c>
      <c r="X20" s="1566"/>
      <c r="Y20" s="3394"/>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394"/>
      <c r="Q21" s="1571"/>
      <c r="R21" s="1572"/>
      <c r="S21" s="1573"/>
      <c r="T21" s="1572"/>
      <c r="U21" s="1573"/>
      <c r="V21" s="1572"/>
      <c r="W21" s="1573"/>
      <c r="X21" s="1566"/>
      <c r="Y21" s="3394"/>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394"/>
      <c r="Q24" s="1571">
        <f t="shared" ref="Q24:Q34"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394"/>
      <c r="Q25" s="1149">
        <f t="shared" si="11"/>
        <v>111</v>
      </c>
      <c r="R25" s="1567" t="s">
        <v>8</v>
      </c>
      <c r="S25" s="1568">
        <f>F25</f>
        <v>100</v>
      </c>
      <c r="T25" s="1567" t="s">
        <v>8</v>
      </c>
      <c r="U25" s="1568">
        <f>H25</f>
        <v>100</v>
      </c>
      <c r="V25" s="1567" t="s">
        <v>8</v>
      </c>
      <c r="W25" s="1568">
        <f>J25</f>
        <v>100</v>
      </c>
      <c r="X25" s="1569"/>
      <c r="Y25" s="3394"/>
      <c r="Z25" s="1148">
        <f>Q25</f>
        <v>111</v>
      </c>
      <c r="AA25" s="1575">
        <f>D25/F25</f>
        <v>1</v>
      </c>
      <c r="AB25" s="1575">
        <f>D25/H25</f>
        <v>1</v>
      </c>
      <c r="AC25" s="1575">
        <f>D25/J25</f>
        <v>1</v>
      </c>
    </row>
    <row r="26" spans="1:29" ht="15">
      <c r="A26" s="2907"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39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6"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396"/>
      <c r="Q27" s="1604" t="str">
        <f t="shared" si="11"/>
        <v>成新率</v>
      </c>
      <c r="R27" s="1576" t="s">
        <v>8</v>
      </c>
      <c r="S27" s="1577" t="e">
        <f t="shared" si="12"/>
        <v>#N/A</v>
      </c>
      <c r="T27" s="1576" t="s">
        <v>8</v>
      </c>
      <c r="U27" s="1577" t="e">
        <f t="shared" si="13"/>
        <v>#N/A</v>
      </c>
      <c r="V27" s="1576" t="s">
        <v>8</v>
      </c>
      <c r="W27" s="1577" t="e">
        <f t="shared" si="14"/>
        <v>#N/A</v>
      </c>
      <c r="X27" s="1578"/>
      <c r="Y27" s="3396"/>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396"/>
      <c r="Q28" s="1571" t="str">
        <f t="shared" si="11"/>
        <v>物业等级</v>
      </c>
      <c r="R28" s="1572" t="s">
        <v>8</v>
      </c>
      <c r="S28" s="1573">
        <f t="shared" si="12"/>
        <v>100</v>
      </c>
      <c r="T28" s="1572" t="s">
        <v>8</v>
      </c>
      <c r="U28" s="1573">
        <f t="shared" si="13"/>
        <v>100</v>
      </c>
      <c r="V28" s="1572" t="s">
        <v>8</v>
      </c>
      <c r="W28" s="1573">
        <f t="shared" si="14"/>
        <v>100</v>
      </c>
      <c r="X28" s="1566"/>
      <c r="Y28" s="3396"/>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396"/>
      <c r="Q29" s="1571" t="str">
        <f t="shared" si="11"/>
        <v>有无电梯</v>
      </c>
      <c r="R29" s="1572" t="s">
        <v>8</v>
      </c>
      <c r="S29" s="1573">
        <f t="shared" si="12"/>
        <v>100</v>
      </c>
      <c r="T29" s="1572" t="s">
        <v>8</v>
      </c>
      <c r="U29" s="1573">
        <f t="shared" si="13"/>
        <v>100</v>
      </c>
      <c r="V29" s="1572" t="s">
        <v>8</v>
      </c>
      <c r="W29" s="1573">
        <f t="shared" si="14"/>
        <v>100</v>
      </c>
      <c r="X29" s="1566"/>
      <c r="Y29" s="3396"/>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396"/>
      <c r="Q30" s="1571" t="str">
        <f t="shared" si="11"/>
        <v>建筑面积</v>
      </c>
      <c r="R30" s="1572" t="s">
        <v>8</v>
      </c>
      <c r="S30" s="1573" t="e">
        <f t="shared" si="12"/>
        <v>#N/A</v>
      </c>
      <c r="T30" s="1572" t="s">
        <v>8</v>
      </c>
      <c r="U30" s="1573" t="e">
        <f t="shared" si="13"/>
        <v>#N/A</v>
      </c>
      <c r="V30" s="1572" t="s">
        <v>8</v>
      </c>
      <c r="W30" s="1573" t="e">
        <f t="shared" si="14"/>
        <v>#N/A</v>
      </c>
      <c r="X30" s="1566"/>
      <c r="Y30" s="3396"/>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396"/>
      <c r="Q31" s="1149" t="str">
        <f t="shared" si="11"/>
        <v>是否封闭</v>
      </c>
      <c r="R31" s="1567" t="s">
        <v>8</v>
      </c>
      <c r="S31" s="1568">
        <f t="shared" si="12"/>
        <v>100</v>
      </c>
      <c r="T31" s="1567" t="s">
        <v>8</v>
      </c>
      <c r="U31" s="1568">
        <f t="shared" si="13"/>
        <v>100</v>
      </c>
      <c r="V31" s="1567" t="s">
        <v>8</v>
      </c>
      <c r="W31" s="1568">
        <f t="shared" si="14"/>
        <v>100</v>
      </c>
      <c r="X31" s="1569"/>
      <c r="Y31" s="3396"/>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396" t="s">
        <v>550</v>
      </c>
      <c r="Q32" s="1571">
        <f t="shared" si="11"/>
        <v>111</v>
      </c>
      <c r="R32" s="1572" t="s">
        <v>8</v>
      </c>
      <c r="S32" s="1573">
        <f t="shared" si="12"/>
        <v>100</v>
      </c>
      <c r="T32" s="1572" t="s">
        <v>8</v>
      </c>
      <c r="U32" s="1573">
        <f t="shared" si="13"/>
        <v>100</v>
      </c>
      <c r="V32" s="1572" t="s">
        <v>8</v>
      </c>
      <c r="W32" s="1573">
        <f t="shared" si="14"/>
        <v>100</v>
      </c>
      <c r="X32" s="1566"/>
      <c r="Y32" s="3396"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396"/>
      <c r="Q33" s="1571">
        <f t="shared" si="11"/>
        <v>111</v>
      </c>
      <c r="R33" s="1572" t="s">
        <v>8</v>
      </c>
      <c r="S33" s="1573">
        <f t="shared" si="12"/>
        <v>100</v>
      </c>
      <c r="T33" s="1572" t="s">
        <v>8</v>
      </c>
      <c r="U33" s="1573">
        <f t="shared" si="13"/>
        <v>100</v>
      </c>
      <c r="V33" s="1572" t="s">
        <v>8</v>
      </c>
      <c r="W33" s="1573">
        <f t="shared" si="14"/>
        <v>100</v>
      </c>
      <c r="X33" s="1566"/>
      <c r="Y33" s="3396"/>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ht="15">
      <c r="A35" s="605" t="s">
        <v>736</v>
      </c>
      <c r="B35" s="885"/>
      <c r="C35" s="2627" t="s">
        <v>1</v>
      </c>
      <c r="D35" s="2628"/>
      <c r="E35" s="2629"/>
      <c r="F35" s="2630"/>
      <c r="G35" s="2631"/>
      <c r="H35" s="2632"/>
      <c r="I35" s="2629"/>
      <c r="J35" s="2632"/>
      <c r="K35" s="1610"/>
      <c r="L35" s="2144"/>
      <c r="M35" s="2145"/>
      <c r="N35" s="2134"/>
      <c r="O35" s="2145"/>
      <c r="P35" s="3359" t="str">
        <f>A35</f>
        <v>成交单价（元/平方米）</v>
      </c>
      <c r="Q35" s="3359"/>
      <c r="R35" s="3449">
        <f>E35</f>
        <v>0</v>
      </c>
      <c r="S35" s="3449"/>
      <c r="T35" s="3449">
        <f>G35</f>
        <v>0</v>
      </c>
      <c r="U35" s="3449"/>
      <c r="V35" s="3449">
        <f>I35</f>
        <v>0</v>
      </c>
      <c r="W35" s="3449"/>
      <c r="X35" s="1558"/>
      <c r="Y35" s="1580"/>
      <c r="Z35" s="1558"/>
      <c r="AA35" s="1558"/>
      <c r="AB35" s="1558"/>
      <c r="AC35" s="1558"/>
    </row>
    <row r="36" spans="1:29" ht="15.75" thickBot="1">
      <c r="A36" s="613" t="s">
        <v>2757</v>
      </c>
      <c r="B36" s="886"/>
      <c r="C36" s="2633" t="e">
        <f>R37</f>
        <v>#DIV/0!</v>
      </c>
      <c r="D36" s="2634"/>
      <c r="E36" s="2635" t="e">
        <f>R36</f>
        <v>#DIV/0!</v>
      </c>
      <c r="F36" s="2635"/>
      <c r="G36" s="2633" t="e">
        <f>T36</f>
        <v>#DIV/0!</v>
      </c>
      <c r="H36" s="2634"/>
      <c r="I36" s="2635" t="e">
        <f>V36</f>
        <v>#DIV/0!</v>
      </c>
      <c r="J36" s="2634"/>
      <c r="K36" s="1611"/>
      <c r="L36" s="2144"/>
      <c r="M36" s="2145"/>
      <c r="N36" s="2134"/>
      <c r="O36" s="2145"/>
      <c r="P36" s="3359" t="str">
        <f>A36</f>
        <v>比较价格（元/平方米）</v>
      </c>
      <c r="Q36" s="3359"/>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58"/>
      <c r="Y36" s="1558"/>
      <c r="Z36" s="1558"/>
      <c r="AA36" s="1558"/>
      <c r="AB36" s="1558"/>
      <c r="AC36" s="1558"/>
    </row>
    <row r="37" spans="1:29" ht="15.75" thickBot="1">
      <c r="A37" s="619" t="s">
        <v>2921</v>
      </c>
      <c r="B37" s="620"/>
      <c r="C37" s="2636" t="e">
        <f>R37</f>
        <v>#DIV/0!</v>
      </c>
      <c r="D37" s="2636"/>
      <c r="E37" s="2636"/>
      <c r="F37" s="2636"/>
      <c r="G37" s="2636"/>
      <c r="H37" s="2636"/>
      <c r="I37" s="2636"/>
      <c r="J37" s="2636"/>
      <c r="K37" s="1612"/>
      <c r="L37" s="2144"/>
      <c r="M37" s="2145"/>
      <c r="N37" s="2145"/>
      <c r="O37" s="2145"/>
      <c r="P37" s="3356" t="str">
        <f>A37</f>
        <v>估价对象XX用房的比较价格（楼面单价，元/平方米）</v>
      </c>
      <c r="Q37" s="3357"/>
      <c r="R37" s="3448" t="e">
        <f>IF(F1="售价",ROUND(AVERAGE(R36:V36),0),ROUND(AVERAGE(R36:V36),1))</f>
        <v>#DIV/0!</v>
      </c>
      <c r="S37" s="3448"/>
      <c r="T37" s="3448"/>
      <c r="U37" s="3448"/>
      <c r="V37" s="3448"/>
      <c r="W37" s="344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2555</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597" t="s">
        <v>2556</v>
      </c>
      <c r="C65" s="2598" t="s">
        <v>2557</v>
      </c>
      <c r="D65" s="2598" t="s">
        <v>2558</v>
      </c>
      <c r="E65" s="2598" t="s">
        <v>2559</v>
      </c>
      <c r="F65" s="2598" t="s">
        <v>2560</v>
      </c>
      <c r="G65" s="2598" t="s">
        <v>2561</v>
      </c>
      <c r="H65" s="672"/>
      <c r="I65" s="672"/>
      <c r="J65" s="672"/>
      <c r="K65" s="672"/>
      <c r="L65" s="672"/>
      <c r="M65" s="2601"/>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t="s">
        <v>2976</v>
      </c>
      <c r="D1" s="3122" t="s">
        <v>3195</v>
      </c>
      <c r="E1" s="2387" t="s">
        <v>2372</v>
      </c>
      <c r="F1" s="2388">
        <f ca="1">J53</f>
        <v>47.4</v>
      </c>
      <c r="G1" s="772">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1727</v>
      </c>
      <c r="B2" s="773">
        <f ca="1">C40+J29+L46</f>
        <v>65728</v>
      </c>
      <c r="C2" s="2057"/>
      <c r="D2" s="2055"/>
      <c r="E2" s="2056"/>
      <c r="F2" s="2056"/>
      <c r="G2" s="1589"/>
      <c r="H2" s="2057"/>
      <c r="I2" s="2057"/>
      <c r="J2" s="2057"/>
      <c r="K2" s="2058"/>
      <c r="L2" s="2057"/>
      <c r="M2" s="2057"/>
    </row>
    <row r="3" spans="1:33" ht="18" customHeight="1" thickBot="1">
      <c r="A3" s="831" t="s">
        <v>1728</v>
      </c>
      <c r="B3" s="832">
        <f ca="1">IF(ISERROR(B2*10000/F43),0,ROUND(B2*10000/F43,0))</f>
        <v>16096</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2456</v>
      </c>
      <c r="C5" s="55">
        <f ca="1">C6+C10+C12</f>
        <v>3358</v>
      </c>
      <c r="D5" s="2496" t="s">
        <v>2459</v>
      </c>
      <c r="E5" s="2490"/>
      <c r="F5" s="2491"/>
      <c r="G5" s="1591"/>
      <c r="H5" s="779">
        <v>1</v>
      </c>
      <c r="I5" s="780" t="s">
        <v>2456</v>
      </c>
      <c r="J5" s="55">
        <f ca="1">J6+J10+J12</f>
        <v>0</v>
      </c>
      <c r="K5" s="2496" t="s">
        <v>2459</v>
      </c>
      <c r="L5" s="2490"/>
      <c r="M5" s="2491"/>
    </row>
    <row r="6" spans="1:33" ht="18" customHeight="1">
      <c r="A6" s="1830" t="s">
        <v>1825</v>
      </c>
      <c r="B6" s="3432" t="s">
        <v>2461</v>
      </c>
      <c r="C6" s="781">
        <f ca="1">ROUND(F6*F8*F7*(1-F9)/10000,0)</f>
        <v>3354</v>
      </c>
      <c r="D6" s="2497" t="s">
        <v>2460</v>
      </c>
      <c r="E6" s="782" t="s">
        <v>1739</v>
      </c>
      <c r="F6" s="783">
        <f ca="1">INDIRECT("'数据-取费表'!u"&amp;$G$1)</f>
        <v>2.5</v>
      </c>
      <c r="G6" s="1591"/>
      <c r="H6" s="2504" t="s">
        <v>2466</v>
      </c>
      <c r="I6" s="3432" t="s">
        <v>2461</v>
      </c>
      <c r="J6" s="781">
        <f ca="1">ROUND(M6*M8*M7*(1-M9)/10000,0)</f>
        <v>0</v>
      </c>
      <c r="K6" s="339" t="s">
        <v>1738</v>
      </c>
      <c r="L6" s="782" t="s">
        <v>1739</v>
      </c>
      <c r="M6" s="783">
        <f ca="1">INDIRECT("'数据-取费表'!z"&amp;$G$1)</f>
        <v>0</v>
      </c>
    </row>
    <row r="7" spans="1:33" ht="18" customHeight="1">
      <c r="A7" s="2500"/>
      <c r="B7" s="3433"/>
      <c r="C7" s="786"/>
      <c r="D7" s="787"/>
      <c r="E7" s="782" t="s">
        <v>1740</v>
      </c>
      <c r="F7" s="783">
        <f ca="1">IF(INDIRECT("'数据-取费表'!ah"&amp;$G$1)="",INDIRECT("'数据-取费表'!k"&amp;$G$1),INDIRECT("'数据-取费表'!ah"&amp;$G$1))</f>
        <v>40836.03</v>
      </c>
      <c r="G7" s="1591"/>
      <c r="H7" s="2489"/>
      <c r="I7" s="3433"/>
      <c r="J7" s="786"/>
      <c r="K7" s="787"/>
      <c r="L7" s="782" t="s">
        <v>1740</v>
      </c>
      <c r="M7" s="783">
        <f ca="1">F7</f>
        <v>40836.03</v>
      </c>
    </row>
    <row r="8" spans="1:33" ht="18" customHeight="1">
      <c r="A8" s="2493"/>
      <c r="B8" s="3434"/>
      <c r="C8" s="786"/>
      <c r="D8" s="787"/>
      <c r="E8" s="782" t="s">
        <v>1741</v>
      </c>
      <c r="F8" s="783">
        <f ca="1">INDIRECT("'数据-取费表'!ai"&amp;$G$1)</f>
        <v>365</v>
      </c>
      <c r="G8" s="1591"/>
      <c r="H8" s="2489"/>
      <c r="I8" s="3434"/>
      <c r="J8" s="786"/>
      <c r="K8" s="787"/>
      <c r="L8" s="782" t="s">
        <v>1741</v>
      </c>
      <c r="M8" s="783">
        <f ca="1">INDIRECT("'数据-取费表'!ai"&amp;$G$1)</f>
        <v>365</v>
      </c>
    </row>
    <row r="9" spans="1:33" ht="18" customHeight="1">
      <c r="A9" s="784"/>
      <c r="B9" s="3435"/>
      <c r="C9" s="786"/>
      <c r="D9" s="787"/>
      <c r="E9" s="782" t="s">
        <v>1742</v>
      </c>
      <c r="F9" s="792">
        <f ca="1">INDIRECT("'数据-取费表'!w"&amp;$G$1)</f>
        <v>0.1</v>
      </c>
      <c r="G9" s="1591"/>
      <c r="H9" s="2505"/>
      <c r="I9" s="3434"/>
      <c r="J9" s="786"/>
      <c r="K9" s="787"/>
      <c r="L9" s="793" t="s">
        <v>1742</v>
      </c>
      <c r="M9" s="794">
        <f ca="1">INDIRECT("'数据-取费表'!ab"&amp;$G$1)</f>
        <v>0</v>
      </c>
    </row>
    <row r="10" spans="1:33" ht="18" customHeight="1">
      <c r="A10" s="1830" t="s">
        <v>2464</v>
      </c>
      <c r="B10" s="2494" t="s">
        <v>2457</v>
      </c>
      <c r="C10" s="797">
        <f ca="1">ROUND(IF(F10="押一",C6/12*F11,IF(F10="押二",C6/12*2*F11,IF(F10="押三",C6/12*3*F11,C11*F11))),0)</f>
        <v>4</v>
      </c>
      <c r="D10" s="2501" t="s">
        <v>2962</v>
      </c>
      <c r="E10" s="2498" t="s">
        <v>2462</v>
      </c>
      <c r="F10" s="2621" t="s">
        <v>3196</v>
      </c>
      <c r="G10" s="1591"/>
      <c r="H10" s="2561" t="s">
        <v>2467</v>
      </c>
      <c r="I10" s="2566" t="s">
        <v>2457</v>
      </c>
      <c r="J10" s="781">
        <f ca="1">ROUND(IF(M10="押一",J6/12*M11,IF(M10="押二",J6/12*2*M11,IF(M10="押三",J6/12*3*M11,J11*M11))),0)</f>
        <v>0</v>
      </c>
      <c r="K10" s="2501" t="s">
        <v>2962</v>
      </c>
      <c r="L10" s="2498" t="s">
        <v>2462</v>
      </c>
      <c r="M10" s="2621"/>
    </row>
    <row r="11" spans="1:33" ht="18" customHeight="1">
      <c r="A11" s="788"/>
      <c r="B11" s="2495" t="s">
        <v>2571</v>
      </c>
      <c r="C11" s="2499"/>
      <c r="D11" s="787"/>
      <c r="E11" s="2498" t="s">
        <v>2463</v>
      </c>
      <c r="F11" s="794">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1743</v>
      </c>
      <c r="C13" s="790">
        <f ca="1">ROUND(C29*F13,0)</f>
        <v>16459</v>
      </c>
      <c r="D13" s="1834" t="s">
        <v>2297</v>
      </c>
      <c r="E13" s="1834" t="s">
        <v>1745</v>
      </c>
      <c r="F13" s="2536">
        <f ca="1">INDIRECT("'数据-取费表'!y"&amp;$G$1)</f>
        <v>1</v>
      </c>
      <c r="G13" s="1591"/>
      <c r="H13" s="1829">
        <v>2</v>
      </c>
      <c r="I13" s="1827" t="s">
        <v>1743</v>
      </c>
      <c r="J13" s="1819">
        <f ca="1">ROUND(J14*J15,0)</f>
        <v>0</v>
      </c>
      <c r="K13" s="1821" t="s">
        <v>1744</v>
      </c>
      <c r="L13" s="2552"/>
      <c r="M13" s="2553"/>
    </row>
    <row r="14" spans="1:33" ht="18" customHeight="1">
      <c r="A14" s="1647" t="s">
        <v>1885</v>
      </c>
      <c r="B14" s="782" t="s">
        <v>645</v>
      </c>
      <c r="C14" s="802">
        <f ca="1">INDIRECT("'数据-取费表'!m"&amp;$G$1)+INDIRECT("'数据-取费表'!t"&amp;$G$1)</f>
        <v>12523</v>
      </c>
      <c r="D14" s="1979" t="s">
        <v>1746</v>
      </c>
      <c r="E14" s="1980"/>
      <c r="F14" s="803"/>
      <c r="G14" s="1591"/>
      <c r="H14" s="1648" t="s">
        <v>1831</v>
      </c>
      <c r="I14" s="2231" t="s">
        <v>2823</v>
      </c>
      <c r="J14" s="53">
        <f ca="1">C29</f>
        <v>16459</v>
      </c>
      <c r="K14" s="26"/>
      <c r="L14" s="799"/>
      <c r="M14" s="800"/>
    </row>
    <row r="15" spans="1:33" s="2064" customFormat="1" ht="18" customHeight="1" thickBot="1">
      <c r="A15" s="1647" t="s">
        <v>1886</v>
      </c>
      <c r="B15" s="782" t="s">
        <v>647</v>
      </c>
      <c r="C15" s="53">
        <f ca="1">ROUND(C14*F15,0)</f>
        <v>376</v>
      </c>
      <c r="D15" s="804" t="s">
        <v>1747</v>
      </c>
      <c r="E15" s="804" t="s">
        <v>1748</v>
      </c>
      <c r="F15" s="805">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1469</v>
      </c>
      <c r="K16" s="1821" t="s">
        <v>1751</v>
      </c>
      <c r="L16" s="2486"/>
      <c r="M16" s="2491"/>
    </row>
    <row r="17" spans="1:33" s="2064" customFormat="1" ht="18" customHeight="1">
      <c r="A17" s="1647" t="s">
        <v>1888</v>
      </c>
      <c r="B17" s="782" t="s">
        <v>653</v>
      </c>
      <c r="C17" s="53">
        <f ca="1">ROUND(F17*(F43+INDIRECT("'数据-取费表'!S"&amp;$G$1))/10000,0)</f>
        <v>835</v>
      </c>
      <c r="D17" s="782" t="s">
        <v>1752</v>
      </c>
      <c r="E17" s="782" t="s">
        <v>1753</v>
      </c>
      <c r="F17" s="56">
        <f>'数据-取费表'!B35</f>
        <v>200</v>
      </c>
      <c r="G17" s="1592"/>
      <c r="H17" s="1648" t="s">
        <v>1831</v>
      </c>
      <c r="I17" s="782" t="s">
        <v>656</v>
      </c>
      <c r="J17" s="53">
        <f ca="1">ROUND(IF(项目基本情况!B11="自然人",J5*M17,J18+J19+J20),0)</f>
        <v>1387</v>
      </c>
      <c r="K17" s="2485" t="s">
        <v>1754</v>
      </c>
      <c r="L17" s="2484" t="s">
        <v>1755</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3">
        <f ca="1">ROUND(C14*F18,0)</f>
        <v>188</v>
      </c>
      <c r="D18" s="782" t="s">
        <v>1747</v>
      </c>
      <c r="E18" s="782" t="s">
        <v>1748</v>
      </c>
      <c r="F18" s="807">
        <f>'数据-取费表'!B36</f>
        <v>1.4999999999999999E-2</v>
      </c>
      <c r="G18" s="1592"/>
      <c r="H18" s="1647" t="s">
        <v>1885</v>
      </c>
      <c r="I18" s="782" t="s">
        <v>1756</v>
      </c>
      <c r="J18" s="53">
        <f ca="1">ROUND(J5*M18/1.05,1)</f>
        <v>0</v>
      </c>
      <c r="K18" s="2484" t="s">
        <v>1757</v>
      </c>
      <c r="L18" s="782" t="s">
        <v>1748</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3">
        <f ca="1">SUM(C14:C18)</f>
        <v>13922</v>
      </c>
      <c r="D19" s="259" t="s">
        <v>1758</v>
      </c>
      <c r="E19" s="1982"/>
      <c r="F19" s="56"/>
      <c r="G19" s="1591"/>
      <c r="H19" s="1647" t="s">
        <v>1886</v>
      </c>
      <c r="I19" s="782" t="s">
        <v>1759</v>
      </c>
      <c r="J19" s="53">
        <f ca="1">IF(K19="按租金收入计税",ROUND(J5*M19,1),ROUND(C29*F33*0.7,1))</f>
        <v>1382.6</v>
      </c>
      <c r="K19" s="809" t="s">
        <v>665</v>
      </c>
      <c r="L19" s="782" t="s">
        <v>1748</v>
      </c>
      <c r="M19" s="807">
        <f>IF(K19="按租金收入计税",'数据-取费表'!B51,'数据-取费表'!B50)</f>
        <v>1.2E-2</v>
      </c>
    </row>
    <row r="20" spans="1:33" s="2064" customFormat="1" ht="18" customHeight="1">
      <c r="A20" s="1648" t="s">
        <v>1890</v>
      </c>
      <c r="B20" s="782" t="s">
        <v>666</v>
      </c>
      <c r="C20" s="53">
        <f ca="1">ROUND(C19*F20,0)</f>
        <v>209</v>
      </c>
      <c r="D20" s="810" t="s">
        <v>1760</v>
      </c>
      <c r="E20" s="782" t="s">
        <v>1748</v>
      </c>
      <c r="F20" s="807">
        <f>'数据-取费表'!B37</f>
        <v>1.4999999999999999E-2</v>
      </c>
      <c r="G20" s="1592"/>
      <c r="H20" s="1650" t="s">
        <v>1881</v>
      </c>
      <c r="I20" s="339" t="s">
        <v>1761</v>
      </c>
      <c r="J20" s="54">
        <f ca="1">ROUND(M20*M21/10000,0)</f>
        <v>4</v>
      </c>
      <c r="K20" s="812" t="s">
        <v>1762</v>
      </c>
      <c r="L20" s="782" t="s">
        <v>1763</v>
      </c>
      <c r="M20" s="638">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3" t="s">
        <v>1765</v>
      </c>
      <c r="D21" s="810" t="s">
        <v>2298</v>
      </c>
      <c r="E21" s="782" t="s">
        <v>1766</v>
      </c>
      <c r="F21" s="807">
        <f>'数据-取费表'!B38</f>
        <v>0.02</v>
      </c>
      <c r="G21" s="1592"/>
      <c r="H21" s="2506"/>
      <c r="I21" s="791"/>
      <c r="J21" s="69"/>
      <c r="K21" s="814"/>
      <c r="L21" s="782" t="s">
        <v>1767</v>
      </c>
      <c r="M21" s="783">
        <f ca="1">INDIRECT("'数据-取费表'!r"&amp;$G$1)</f>
        <v>12902.41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3"/>
      <c r="D22" s="2572" t="str">
        <f>IF(F23&lt;=1,"单利计息。","复利计息。")&amp;"建造成本、管理费用、销售费用产生的利息。"</f>
        <v>复利计息。建造成本、管理费用、销售费用产生的利息。</v>
      </c>
      <c r="E22" s="1982"/>
      <c r="F22" s="56"/>
      <c r="G22" s="1591"/>
      <c r="H22" s="1648" t="s">
        <v>1890</v>
      </c>
      <c r="I22" s="782" t="s">
        <v>1769</v>
      </c>
      <c r="J22" s="53">
        <f ca="1">ROUND(J14*M22,0)</f>
        <v>82</v>
      </c>
      <c r="K22" s="2484" t="s">
        <v>1770</v>
      </c>
      <c r="L22" s="782" t="s">
        <v>1748</v>
      </c>
      <c r="M22" s="815">
        <f ca="1">INDIRECT("'数据-取费表'!Ak"&amp;$G$1)</f>
        <v>5.0000000000000001E-3</v>
      </c>
    </row>
    <row r="23" spans="1:33" s="2064" customFormat="1" ht="18" customHeight="1">
      <c r="A23" s="1647" t="s">
        <v>1832</v>
      </c>
      <c r="B23" s="782" t="s">
        <v>2533</v>
      </c>
      <c r="C23" s="53">
        <f ca="1">ROUND(IF('数据-取费表'!B22&lt;=1,(C19+C20)*F24*F23/2,(C19+C20)*(POWER((1+F24),F23/2)-1)),0)</f>
        <v>671</v>
      </c>
      <c r="D23" s="2571" t="str">
        <f>IF(F23&lt;=1,"(建造成本+管理费用)×利率×(建设周期÷2)","(建造成本+管理费用)×((1+利率)^(建设周期÷2)-1)")</f>
        <v>(建造成本+管理费用)×((1+利率)^(建设周期÷2)-1)</v>
      </c>
      <c r="E23" s="782" t="s">
        <v>1771</v>
      </c>
      <c r="F23" s="638">
        <f>'数据-取费表'!B20</f>
        <v>2</v>
      </c>
      <c r="G23" s="1592"/>
      <c r="H23" s="1648" t="s">
        <v>1891</v>
      </c>
      <c r="I23" s="782" t="s">
        <v>679</v>
      </c>
      <c r="J23" s="53">
        <f ca="1">ROUND(J13*M23,0)</f>
        <v>0</v>
      </c>
      <c r="K23" s="2484" t="s">
        <v>1772</v>
      </c>
      <c r="L23" s="782" t="s">
        <v>1748</v>
      </c>
      <c r="M23" s="816">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3">
        <f ca="1">ROUND(IF('数据-取费表'!B22&lt;=1,F21*F24*F23/2,F21*(POWER((1+F24),F23/2)-1)),4)</f>
        <v>1E-3</v>
      </c>
      <c r="D24" s="2571" t="str">
        <f>IF(F23&lt;=1,"销售费用×利率×(建设周期÷2)","销售费用×((1+利率)^(建设周期÷2)-1)")</f>
        <v>销售费用×((1+利率)^(建设周期÷2)-1)</v>
      </c>
      <c r="E24" s="782" t="s">
        <v>1774</v>
      </c>
      <c r="F24" s="817">
        <f ca="1">'数据-取费表'!B40</f>
        <v>4.7500000000000001E-2</v>
      </c>
      <c r="G24" s="1592"/>
      <c r="H24" s="2551" t="s">
        <v>1892</v>
      </c>
      <c r="I24" s="2546" t="s">
        <v>666</v>
      </c>
      <c r="J24" s="2544">
        <f ca="1">ROUND(J5*M24,0)</f>
        <v>0</v>
      </c>
      <c r="K24" s="2545" t="s">
        <v>1775</v>
      </c>
      <c r="L24" s="2546" t="s">
        <v>1748</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3"/>
      <c r="D25" s="259" t="s">
        <v>1776</v>
      </c>
      <c r="E25" s="1982"/>
      <c r="F25" s="56"/>
      <c r="G25" s="1591"/>
      <c r="H25" s="1829" t="s">
        <v>1777</v>
      </c>
      <c r="I25" s="3010" t="s">
        <v>2819</v>
      </c>
      <c r="J25" s="790">
        <f ca="1">J5-J16</f>
        <v>-1469</v>
      </c>
      <c r="K25" s="2548" t="s">
        <v>1778</v>
      </c>
      <c r="L25" s="2549"/>
      <c r="M25" s="2550"/>
    </row>
    <row r="26" spans="1:33" ht="18" customHeight="1">
      <c r="A26" s="1647" t="s">
        <v>1832</v>
      </c>
      <c r="B26" s="782" t="s">
        <v>2436</v>
      </c>
      <c r="C26" s="53">
        <f ca="1">ROUND((C19+C20)*F26,0)</f>
        <v>424</v>
      </c>
      <c r="D26" s="810" t="s">
        <v>1779</v>
      </c>
      <c r="E26" s="793" t="s">
        <v>1780</v>
      </c>
      <c r="F26" s="792">
        <f ca="1">INDIRECT("'数据-取费表'!q"&amp;$G$1)</f>
        <v>0.03</v>
      </c>
      <c r="G26" s="1591"/>
      <c r="H26" s="2502" t="s">
        <v>1781</v>
      </c>
      <c r="I26" s="2232" t="s">
        <v>2824</v>
      </c>
      <c r="J26" s="781">
        <f ca="1">IF(J5&lt;&gt;0,ROUND(J25*(1-((1+M28)/(1+M26))^M27)/(M26-M28),0),0)</f>
        <v>0</v>
      </c>
      <c r="K26" s="812" t="s">
        <v>1782</v>
      </c>
      <c r="L26" s="782" t="s">
        <v>2417</v>
      </c>
      <c r="M26" s="792">
        <f ca="1">INDIRECT("'数据-取费表'!I"&amp;$G$1)</f>
        <v>0.05</v>
      </c>
    </row>
    <row r="27" spans="1:33" ht="18" customHeight="1">
      <c r="A27" s="1647" t="s">
        <v>1833</v>
      </c>
      <c r="B27" s="782" t="s">
        <v>686</v>
      </c>
      <c r="C27" s="53">
        <f ca="1">ROUND(F21*F26,4)</f>
        <v>5.9999999999999995E-4</v>
      </c>
      <c r="D27" s="810" t="s">
        <v>1783</v>
      </c>
      <c r="E27" s="804"/>
      <c r="F27" s="805"/>
      <c r="G27" s="1591"/>
      <c r="H27" s="2503"/>
      <c r="I27" s="785"/>
      <c r="J27" s="786"/>
      <c r="K27" s="819" t="s">
        <v>1784</v>
      </c>
      <c r="L27" s="782" t="s">
        <v>1785</v>
      </c>
      <c r="M27" s="820">
        <f ca="1">INDIRECT("'数据-取费表'!ag"&amp;$G$1)</f>
        <v>0</v>
      </c>
    </row>
    <row r="28" spans="1:33" s="2064" customFormat="1" ht="18" customHeight="1">
      <c r="A28" s="1649" t="s">
        <v>1842</v>
      </c>
      <c r="B28" s="782" t="s">
        <v>687</v>
      </c>
      <c r="C28" s="53">
        <f>ROUND(F28/(1+'数据-取费表'!C42),4)</f>
        <v>5.33E-2</v>
      </c>
      <c r="D28" s="810" t="s">
        <v>2299</v>
      </c>
      <c r="E28" s="782" t="s">
        <v>1786</v>
      </c>
      <c r="F28" s="807">
        <f>'数据-取费表'!B41</f>
        <v>5.6000000000000001E-2</v>
      </c>
      <c r="G28" s="1592"/>
      <c r="H28" s="1829"/>
      <c r="I28" s="789"/>
      <c r="J28" s="790"/>
      <c r="K28" s="814"/>
      <c r="L28" s="782" t="s">
        <v>1787</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2300</v>
      </c>
      <c r="C29" s="2544">
        <f ca="1">ROUND((C19+C20+C23+C26)/(1-F21-C24-C27-C28),0)</f>
        <v>16459</v>
      </c>
      <c r="D29" s="2545"/>
      <c r="E29" s="2546"/>
      <c r="F29" s="2547"/>
      <c r="G29" s="1592"/>
      <c r="H29" s="821" t="s">
        <v>1788</v>
      </c>
      <c r="I29" s="822" t="s">
        <v>1789</v>
      </c>
      <c r="J29" s="823">
        <f ca="1">ROUND(J26/(1+F40)^F41,0)</f>
        <v>0</v>
      </c>
      <c r="K29" s="824" t="s">
        <v>1790</v>
      </c>
      <c r="L29" s="825"/>
      <c r="M29" s="826">
        <f ca="1">INDIRECT("'数据-取费表'!k"&amp;$G$1)</f>
        <v>40836.03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718</v>
      </c>
      <c r="D30" s="1821" t="s">
        <v>1792</v>
      </c>
      <c r="E30" s="2486"/>
      <c r="F30" s="2491"/>
      <c r="G30" s="2062"/>
      <c r="H30" s="2065"/>
      <c r="I30" s="2066"/>
      <c r="J30" s="2067"/>
      <c r="K30" s="2068"/>
      <c r="L30" s="2069"/>
      <c r="M30" s="2070"/>
    </row>
    <row r="31" spans="1:33" ht="18" customHeight="1">
      <c r="A31" s="1648" t="s">
        <v>1831</v>
      </c>
      <c r="B31" s="782" t="s">
        <v>656</v>
      </c>
      <c r="C31" s="53">
        <f ca="1">ROUND(IF(项目基本情况!B11="自然人",C5*F31,C32+C33+C34),1)</f>
        <v>586</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3">
        <f ca="1">ROUND(C5*F32/1.05,1)</f>
        <v>179.1</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3">
        <f ca="1">IF(D33="按租金收入计税",ROUND(C5*F33,1),IF(D33="按房产原值计税",ROUND(C29*F33*0.7,1),INDIRECT("'数据-取费表'!Aj"&amp;$G$1)))</f>
        <v>403</v>
      </c>
      <c r="D33" s="809" t="s">
        <v>3197</v>
      </c>
      <c r="E33" s="782" t="s">
        <v>1797</v>
      </c>
      <c r="F33" s="807">
        <f>IF(D33="按租金收入计税",'数据-取费表'!B51,'数据-取费表'!B50)</f>
        <v>0.12</v>
      </c>
      <c r="G33" s="2062"/>
      <c r="H33" s="2077"/>
      <c r="I33" s="2077"/>
      <c r="J33" s="2077"/>
      <c r="K33" s="2078"/>
      <c r="L33" s="2077"/>
      <c r="M33" s="2077"/>
    </row>
    <row r="34" spans="1:18" ht="18" customHeight="1">
      <c r="A34" s="1650" t="s">
        <v>1834</v>
      </c>
      <c r="B34" s="339" t="s">
        <v>1799</v>
      </c>
      <c r="C34" s="54">
        <f ca="1">ROUND(F34*F35/10000,1)</f>
        <v>3.9</v>
      </c>
      <c r="D34" s="812" t="s">
        <v>1800</v>
      </c>
      <c r="E34" s="782" t="s">
        <v>1801</v>
      </c>
      <c r="F34" s="638">
        <f>'数据-取费表'!B52</f>
        <v>3</v>
      </c>
      <c r="G34" s="2062"/>
      <c r="H34" s="2065"/>
      <c r="I34" s="833" t="s">
        <v>1814</v>
      </c>
      <c r="J34" s="834"/>
      <c r="K34" s="2080"/>
      <c r="L34" s="2079"/>
      <c r="M34" s="2079"/>
    </row>
    <row r="35" spans="1:18" ht="18" customHeight="1">
      <c r="A35" s="813"/>
      <c r="B35" s="791"/>
      <c r="C35" s="69"/>
      <c r="D35" s="814"/>
      <c r="E35" s="782" t="s">
        <v>1802</v>
      </c>
      <c r="F35" s="783">
        <f ca="1">INDIRECT("'数据-取费表'!r"&amp;$G$1)</f>
        <v>12902.41</v>
      </c>
      <c r="G35" s="2062"/>
      <c r="H35" s="2065"/>
      <c r="I35" s="835" t="s">
        <v>1815</v>
      </c>
      <c r="J35" s="836">
        <f ca="1">ROUND(C13*J36,0)</f>
        <v>0</v>
      </c>
      <c r="K35" s="2078"/>
      <c r="L35" s="2077"/>
      <c r="M35" s="2077"/>
    </row>
    <row r="36" spans="1:18" ht="18" customHeight="1">
      <c r="A36" s="1648" t="s">
        <v>1890</v>
      </c>
      <c r="B36" s="782" t="s">
        <v>1803</v>
      </c>
      <c r="C36" s="53">
        <f ca="1">ROUND(C29*F36,1)</f>
        <v>82.3</v>
      </c>
      <c r="D36" s="1977" t="s">
        <v>1804</v>
      </c>
      <c r="E36" s="782" t="s">
        <v>1797</v>
      </c>
      <c r="F36" s="815">
        <f ca="1">INDIRECT("'数据-取费表'!Ak"&amp;$G$1)</f>
        <v>5.0000000000000001E-3</v>
      </c>
      <c r="G36" s="2062"/>
      <c r="H36" s="2077"/>
      <c r="I36" s="837" t="s">
        <v>1816</v>
      </c>
      <c r="J36" s="838">
        <f ca="1">INDIRECT("'数据-取费表'!j"&amp;$G$1)</f>
        <v>0</v>
      </c>
      <c r="K36" s="2082"/>
      <c r="L36" s="2077"/>
      <c r="M36" s="2077"/>
    </row>
    <row r="37" spans="1:18" ht="18" customHeight="1">
      <c r="A37" s="1648" t="s">
        <v>1891</v>
      </c>
      <c r="B37" s="782" t="s">
        <v>679</v>
      </c>
      <c r="C37" s="53">
        <f ca="1">ROUND(C13*F37,1)</f>
        <v>16.5</v>
      </c>
      <c r="D37" s="1977" t="s">
        <v>1805</v>
      </c>
      <c r="E37" s="782" t="s">
        <v>1797</v>
      </c>
      <c r="F37" s="816">
        <f ca="1">INDIRECT("'数据-取费表'!Al"&amp;$G$1)</f>
        <v>1E-3</v>
      </c>
      <c r="G37" s="2062"/>
      <c r="H37" s="2077"/>
      <c r="I37" s="839" t="s">
        <v>1817</v>
      </c>
      <c r="J37" s="840"/>
      <c r="K37" s="2082"/>
      <c r="L37" s="2077"/>
      <c r="M37" s="2077"/>
    </row>
    <row r="38" spans="1:18" ht="18" customHeight="1" thickBot="1">
      <c r="A38" s="2551" t="s">
        <v>1892</v>
      </c>
      <c r="B38" s="2546" t="s">
        <v>666</v>
      </c>
      <c r="C38" s="2544">
        <f ca="1">ROUND(C5*F38,1)</f>
        <v>33.6</v>
      </c>
      <c r="D38" s="2545" t="s">
        <v>1806</v>
      </c>
      <c r="E38" s="2546" t="s">
        <v>1797</v>
      </c>
      <c r="F38" s="2542">
        <f ca="1">INDIRECT("'数据-取费表'!Am"&amp;$G$1)</f>
        <v>0.01</v>
      </c>
      <c r="G38" s="2062"/>
      <c r="H38" s="2077"/>
      <c r="I38" s="841" t="s">
        <v>1818</v>
      </c>
      <c r="J38" s="842"/>
      <c r="K38" s="2083"/>
      <c r="L38" s="2077"/>
      <c r="M38" s="2077"/>
    </row>
    <row r="39" spans="1:18" ht="24.6" customHeight="1" thickTop="1">
      <c r="A39" s="1829" t="s">
        <v>1895</v>
      </c>
      <c r="B39" s="3010" t="s">
        <v>2819</v>
      </c>
      <c r="C39" s="790">
        <f ca="1">C5-C30</f>
        <v>2640</v>
      </c>
      <c r="D39" s="2548" t="s">
        <v>1807</v>
      </c>
      <c r="E39" s="2549"/>
      <c r="F39" s="2550"/>
      <c r="G39" s="2062"/>
      <c r="H39" s="2077"/>
      <c r="I39" s="835" t="s">
        <v>1819</v>
      </c>
      <c r="J39" s="843">
        <f ca="1">ROUND(J35/C39,3)</f>
        <v>0</v>
      </c>
      <c r="K39" s="2083"/>
      <c r="L39" s="2077"/>
      <c r="M39" s="2077"/>
    </row>
    <row r="40" spans="1:18" ht="18" customHeight="1">
      <c r="A40" s="779" t="s">
        <v>1896</v>
      </c>
      <c r="B40" s="2232" t="s">
        <v>2301</v>
      </c>
      <c r="C40" s="781">
        <f ca="1">ROUND(C39*(1-((1+F42)/(1+F40))^F41)/(F40-F42),0)</f>
        <v>65728</v>
      </c>
      <c r="D40" s="812" t="s">
        <v>1808</v>
      </c>
      <c r="E40" s="782" t="s">
        <v>2417</v>
      </c>
      <c r="F40" s="792">
        <f ca="1">INDIRECT("'数据-取费表'!I"&amp;$G$1)</f>
        <v>0.05</v>
      </c>
      <c r="G40" s="2062"/>
      <c r="H40" s="2062"/>
      <c r="I40" s="835" t="s">
        <v>1820</v>
      </c>
      <c r="J40" s="843">
        <f ca="1">1-J39</f>
        <v>1</v>
      </c>
      <c r="K40" s="2083"/>
      <c r="L40" s="2062"/>
      <c r="M40" s="2062"/>
    </row>
    <row r="41" spans="1:18" ht="18" customHeight="1">
      <c r="A41" s="784"/>
      <c r="B41" s="785"/>
      <c r="C41" s="786"/>
      <c r="D41" s="819" t="s">
        <v>1809</v>
      </c>
      <c r="E41" s="782" t="s">
        <v>2952</v>
      </c>
      <c r="F41" s="820">
        <f ca="1">IF(INDIRECT("'数据-取费表'!af"&amp;$G$1)=0,INDIRECT("'数据-取费表'!ae"&amp;$G$1),INDIRECT("'数据-取费表'!af"&amp;$G$1))</f>
        <v>47.4</v>
      </c>
      <c r="G41" s="2062"/>
      <c r="H41" s="1988"/>
      <c r="I41" s="841" t="s">
        <v>1821</v>
      </c>
      <c r="J41" s="844"/>
      <c r="K41" s="2082"/>
      <c r="L41" s="1988"/>
      <c r="M41" s="1988"/>
    </row>
    <row r="42" spans="1:18" ht="18" customHeight="1">
      <c r="A42" s="788"/>
      <c r="B42" s="789"/>
      <c r="C42" s="790"/>
      <c r="D42" s="814"/>
      <c r="E42" s="782" t="s">
        <v>1810</v>
      </c>
      <c r="F42" s="792">
        <f ca="1">INDIRECT("'数据-取费表'!v"&amp;$G$1)</f>
        <v>0.02</v>
      </c>
      <c r="G42" s="2062"/>
      <c r="H42" s="1988"/>
      <c r="I42" s="845" t="s">
        <v>1822</v>
      </c>
      <c r="J42" s="843">
        <f ca="1">ROUND(C13/C40,3)</f>
        <v>0.25</v>
      </c>
      <c r="K42" s="2082"/>
      <c r="L42" s="1988"/>
      <c r="M42" s="1988"/>
    </row>
    <row r="43" spans="1:18" ht="18" customHeight="1" thickBot="1">
      <c r="A43" s="821" t="s">
        <v>1788</v>
      </c>
      <c r="B43" s="822" t="s">
        <v>1811</v>
      </c>
      <c r="C43" s="823">
        <f ca="1">ROUND(C40*10000/F43,0)</f>
        <v>16096</v>
      </c>
      <c r="D43" s="824" t="s">
        <v>1812</v>
      </c>
      <c r="E43" s="825" t="s">
        <v>1813</v>
      </c>
      <c r="F43" s="826">
        <f ca="1">INDIRECT("'数据-取费表'!k"&amp;$G$1)</f>
        <v>40836.03</v>
      </c>
      <c r="G43" s="2062"/>
      <c r="H43" s="1988"/>
      <c r="I43" s="845" t="s">
        <v>1823</v>
      </c>
      <c r="J43" s="846">
        <f ca="1">1-J42</f>
        <v>0.75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-67584</v>
      </c>
      <c r="D46" s="2085"/>
      <c r="E46" s="2085"/>
      <c r="F46" s="2085"/>
      <c r="I46" s="2378" t="s">
        <v>2341</v>
      </c>
      <c r="J46" s="2379"/>
      <c r="K46" s="2380"/>
      <c r="L46" s="3157">
        <f>IF(OR(M47="住宅",D1="土地（套用方法）"),0,IF(L48&gt;J51,L60,J60))</f>
        <v>0</v>
      </c>
      <c r="O46" s="2394" t="s">
        <v>2408</v>
      </c>
      <c r="P46" s="1591"/>
      <c r="Q46" s="1603"/>
      <c r="R46" s="1591"/>
    </row>
    <row r="47" spans="1:18" s="2059" customFormat="1" ht="18" customHeight="1" thickBot="1">
      <c r="A47" s="2372">
        <v>1</v>
      </c>
      <c r="B47" s="2373" t="s">
        <v>635</v>
      </c>
      <c r="C47" s="2574">
        <f ca="1">C48+C52+C54</f>
        <v>0</v>
      </c>
      <c r="D47" s="2085"/>
      <c r="E47" s="2085"/>
      <c r="F47" s="2085"/>
      <c r="I47" s="3147" t="s">
        <v>2342</v>
      </c>
      <c r="J47" s="2381" t="s">
        <v>3198</v>
      </c>
      <c r="K47" s="3154" t="s">
        <v>2347</v>
      </c>
      <c r="L47" s="3158">
        <f ca="1">INDIRECT("'数据-取费表'!d"&amp;$G$1)</f>
        <v>50</v>
      </c>
      <c r="M47" s="1603"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636</v>
      </c>
      <c r="E48" s="2376" t="s">
        <v>2296</v>
      </c>
      <c r="F48" s="2377"/>
      <c r="G48" s="2090"/>
      <c r="I48" s="3123" t="s">
        <v>2343</v>
      </c>
      <c r="J48" s="2382" t="s">
        <v>2348</v>
      </c>
      <c r="K48" s="3155" t="s">
        <v>2349</v>
      </c>
      <c r="L48" s="1908">
        <f ca="1">INDIRECT("'数据-取费表'!f"&amp;$G$1)</f>
        <v>49.4</v>
      </c>
      <c r="O48" s="2398" t="s">
        <v>2377</v>
      </c>
      <c r="P48" s="2399" t="s">
        <v>2403</v>
      </c>
      <c r="Q48" s="2400">
        <f ca="1">C40+J29</f>
        <v>65728</v>
      </c>
      <c r="R48" s="2399" t="s">
        <v>2378</v>
      </c>
    </row>
    <row r="49" spans="1:18" s="2059" customFormat="1" ht="18" customHeight="1" thickBot="1">
      <c r="A49" s="784"/>
      <c r="B49" s="785"/>
      <c r="C49" s="786"/>
      <c r="D49" s="787"/>
      <c r="E49" s="782" t="s">
        <v>1740</v>
      </c>
      <c r="F49" s="783">
        <f ca="1">F7</f>
        <v>40836.03</v>
      </c>
      <c r="G49" s="2090"/>
      <c r="H49" s="2093"/>
      <c r="I49" s="3123" t="s">
        <v>2344</v>
      </c>
      <c r="J49" s="2383">
        <v>2022</v>
      </c>
      <c r="K49" s="3156" t="s">
        <v>2350</v>
      </c>
      <c r="L49" s="2384"/>
      <c r="O49" s="2398" t="s">
        <v>2379</v>
      </c>
      <c r="P49" s="2399" t="s">
        <v>2404</v>
      </c>
      <c r="Q49" s="2400">
        <f ca="1">J60</f>
        <v>111</v>
      </c>
      <c r="R49" s="2399" t="s">
        <v>2380</v>
      </c>
    </row>
    <row r="50" spans="1:18" s="2059" customFormat="1" ht="18" customHeight="1" thickBot="1">
      <c r="A50" s="784"/>
      <c r="B50" s="785"/>
      <c r="C50" s="786"/>
      <c r="D50" s="787"/>
      <c r="E50" s="782" t="s">
        <v>1741</v>
      </c>
      <c r="F50" s="783">
        <f ca="1">F8</f>
        <v>365</v>
      </c>
      <c r="G50" s="2095"/>
      <c r="H50" s="2093"/>
      <c r="I50" s="3123" t="s">
        <v>2345</v>
      </c>
      <c r="J50" s="3151">
        <f>SUMPRODUCT((I63:I65=J47)*(J62:L62=J48)*(J63:L65))</f>
        <v>60</v>
      </c>
      <c r="K50" s="3156" t="s">
        <v>2351</v>
      </c>
      <c r="L50" s="2384"/>
      <c r="O50" s="2401" t="s">
        <v>2381</v>
      </c>
      <c r="P50" s="2399" t="s">
        <v>2405</v>
      </c>
      <c r="Q50" s="2400">
        <f ca="1">C29</f>
        <v>16459</v>
      </c>
      <c r="R50" s="2399" t="s">
        <v>2378</v>
      </c>
    </row>
    <row r="51" spans="1:18" s="2059" customFormat="1" ht="18" customHeight="1" thickBot="1">
      <c r="A51" s="784"/>
      <c r="B51" s="785"/>
      <c r="C51" s="786"/>
      <c r="D51" s="787"/>
      <c r="E51" s="782" t="s">
        <v>640</v>
      </c>
      <c r="F51" s="2371"/>
      <c r="H51" s="2093"/>
      <c r="I51" s="3148" t="s">
        <v>2346</v>
      </c>
      <c r="J51" s="3152">
        <f>IF(J49="",J50,J49+J50-YEAR('数据-取费表'!B2))</f>
        <v>64</v>
      </c>
      <c r="K51" s="3123" t="s">
        <v>2352</v>
      </c>
      <c r="L51" s="3159">
        <f ca="1">ROUND(-PV(INDIRECT("'数据-取费表'!h"&amp;$G$1),L48,(C39-C13*J36),0),0)</f>
        <v>51998</v>
      </c>
      <c r="O51" s="2401" t="s">
        <v>2382</v>
      </c>
      <c r="P51" s="2399" t="s">
        <v>2383</v>
      </c>
      <c r="Q51" s="2402">
        <f ca="1">J58</f>
        <v>0.4</v>
      </c>
      <c r="R51" s="2403"/>
    </row>
    <row r="52" spans="1:18" s="2059" customFormat="1" ht="18" customHeight="1" thickBot="1">
      <c r="A52" s="779" t="s">
        <v>2534</v>
      </c>
      <c r="B52" s="2494" t="s">
        <v>2457</v>
      </c>
      <c r="C52" s="797">
        <f ca="1">ROUND(IF(F52="押一",C48/12*F11,IF(F52="押二",C48/12*2*F11,IF(F52="押三",C48/12*3*F11,C53*F11))),0)</f>
        <v>0</v>
      </c>
      <c r="D52" s="2501" t="s">
        <v>2963</v>
      </c>
      <c r="E52" s="2498" t="s">
        <v>2462</v>
      </c>
      <c r="F52" s="2621"/>
      <c r="I52" s="3149" t="s">
        <v>2419</v>
      </c>
      <c r="J52" s="2385">
        <v>0.09</v>
      </c>
      <c r="K52" s="3149" t="s">
        <v>2418</v>
      </c>
      <c r="L52" s="2385"/>
      <c r="O52" s="2401" t="s">
        <v>2384</v>
      </c>
      <c r="P52" s="2399" t="s">
        <v>2385</v>
      </c>
      <c r="Q52" s="2402">
        <f>J52</f>
        <v>0.09</v>
      </c>
      <c r="R52" s="2403"/>
    </row>
    <row r="53" spans="1:18" s="2059" customFormat="1" ht="39.75" customHeight="1" thickBot="1">
      <c r="A53" s="784"/>
      <c r="B53" s="2495" t="s">
        <v>2571</v>
      </c>
      <c r="C53" s="2499"/>
      <c r="D53" s="2501"/>
      <c r="E53" s="2498"/>
      <c r="F53" s="798"/>
      <c r="I53" s="3150" t="s">
        <v>2967</v>
      </c>
      <c r="J53" s="3153">
        <f ca="1">IF(M47="住宅",IF(D1="——",MAX(J51,L48),MAX(J51,L48-'数据-取费表'!B20)),IF(D1="——",MIN(J51,L48),MIN(J51,L48-'数据-取费表'!B20)))</f>
        <v>47.4</v>
      </c>
      <c r="K53" s="3476" t="s">
        <v>2954</v>
      </c>
      <c r="L53" s="3477"/>
      <c r="O53" s="2401" t="s">
        <v>2386</v>
      </c>
      <c r="P53" s="2399" t="s">
        <v>2387</v>
      </c>
      <c r="Q53" s="2400">
        <f ca="1">J53</f>
        <v>47.4</v>
      </c>
      <c r="R53" s="2399" t="s">
        <v>2388</v>
      </c>
    </row>
    <row r="54" spans="1:18" s="2059" customFormat="1" ht="18" customHeight="1" thickBot="1">
      <c r="A54" s="2537" t="s">
        <v>2465</v>
      </c>
      <c r="B54" s="2538" t="s">
        <v>2458</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65839</v>
      </c>
      <c r="R54" s="2403" t="s">
        <v>2390</v>
      </c>
    </row>
    <row r="55" spans="1:18" s="2059" customFormat="1" ht="18" customHeight="1" thickTop="1" thickBot="1">
      <c r="A55" s="795">
        <v>2</v>
      </c>
      <c r="B55" s="796" t="s">
        <v>644</v>
      </c>
      <c r="C55" s="797">
        <f ca="1">C13</f>
        <v>16459</v>
      </c>
      <c r="D55" s="793"/>
      <c r="E55" s="793"/>
      <c r="F55" s="798"/>
      <c r="I55" s="3162" t="s">
        <v>2353</v>
      </c>
      <c r="J55" s="3098">
        <f ca="1">ROUND(IF(J47="钢混",J57/J50,1-(1-2%)*(J50-J57)/J50),3)</f>
        <v>0.24299999999999999</v>
      </c>
      <c r="K55" s="3163" t="s">
        <v>2354</v>
      </c>
      <c r="L55" s="2386"/>
      <c r="O55" s="2404" t="s">
        <v>2409</v>
      </c>
      <c r="P55" s="1591"/>
      <c r="Q55" s="1603"/>
      <c r="R55" s="1591"/>
    </row>
    <row r="56" spans="1:18" s="2059" customFormat="1" ht="42.75" customHeight="1" thickBot="1">
      <c r="A56" s="1649"/>
      <c r="B56" s="2231" t="s">
        <v>2302</v>
      </c>
      <c r="C56" s="53">
        <f ca="1">C29</f>
        <v>16459</v>
      </c>
      <c r="D56" s="2639"/>
      <c r="E56" s="782"/>
      <c r="F56" s="807"/>
      <c r="I56" s="3164" t="s">
        <v>2355</v>
      </c>
      <c r="J56" s="3174" t="s">
        <v>3016</v>
      </c>
      <c r="K56" s="3123" t="s">
        <v>2360</v>
      </c>
      <c r="L56" s="1908" t="str">
        <f ca="1">IF(L48&lt;J51,"——",L48-J51)</f>
        <v>——</v>
      </c>
      <c r="O56" s="2395" t="s">
        <v>2373</v>
      </c>
      <c r="P56" s="2396" t="s">
        <v>2374</v>
      </c>
      <c r="Q56" s="2397" t="s">
        <v>2375</v>
      </c>
      <c r="R56" s="2396" t="s">
        <v>2376</v>
      </c>
    </row>
    <row r="57" spans="1:18" s="2059" customFormat="1" ht="28.5" customHeight="1" thickBot="1">
      <c r="A57" s="795" t="s">
        <v>1749</v>
      </c>
      <c r="B57" s="796" t="s">
        <v>651</v>
      </c>
      <c r="C57" s="797">
        <f ca="1">ROUND(C58+C63+C64+C65,0)</f>
        <v>103</v>
      </c>
      <c r="D57" s="26" t="s">
        <v>1751</v>
      </c>
      <c r="E57" s="2640"/>
      <c r="F57" s="56"/>
      <c r="I57" s="3165" t="s">
        <v>2356</v>
      </c>
      <c r="J57" s="3166">
        <f ca="1">IF(OR(M47="住宅",J51&lt;L48,J56="是"),"——",J51-L48)</f>
        <v>14.600000000000001</v>
      </c>
      <c r="K57" s="3123" t="s">
        <v>2361</v>
      </c>
      <c r="L57" s="1908" t="str">
        <f ca="1">IF(L48&lt;J51,"——",IF(L55="比较法",L49,IF(L55="基准地价",L50,L51)))</f>
        <v>——</v>
      </c>
      <c r="O57" s="2398" t="s">
        <v>2377</v>
      </c>
      <c r="P57" s="2399" t="s">
        <v>2407</v>
      </c>
      <c r="Q57" s="2400">
        <f ca="1">C40+J29</f>
        <v>65728</v>
      </c>
      <c r="R57" s="2399" t="s">
        <v>2378</v>
      </c>
    </row>
    <row r="58" spans="1:18" s="2059" customFormat="1" ht="28.5" customHeight="1" thickBot="1">
      <c r="A58" s="1648" t="s">
        <v>1825</v>
      </c>
      <c r="B58" s="782" t="s">
        <v>656</v>
      </c>
      <c r="C58" s="53">
        <f ca="1">ROUND(IF(项目基本情况!B11="自然人",C47*F58,C59+C60+C61),1)</f>
        <v>3.9</v>
      </c>
      <c r="D58" s="2638" t="s">
        <v>657</v>
      </c>
      <c r="E58" s="2639" t="s">
        <v>690</v>
      </c>
      <c r="F58" s="808" t="str">
        <f ca="1">IF(项目基本情况!B11="企业","",IF(INDIRECT("'数据-取费表'!c"&amp;$G$1)="住宅",5%,IF(F48*F49*F50/12/(1+'数据-取费表'!C42)&gt;20000,12%,7%)))</f>
        <v/>
      </c>
      <c r="I58" s="3165" t="s">
        <v>2357</v>
      </c>
      <c r="J58" s="3099">
        <f ca="1">IF(J55&lt;0.4,0.4,J55)</f>
        <v>0.4</v>
      </c>
      <c r="K58" s="3123" t="s">
        <v>2362</v>
      </c>
      <c r="L58" s="1908" t="e">
        <f ca="1">ROUND(POWER(1+L52,L47-L48)*(POWER(1+L52,L48)-1)/(POWER(1+L52,L47)-1),4)</f>
        <v>#DIV/0!</v>
      </c>
      <c r="O58" s="2398" t="s">
        <v>2379</v>
      </c>
      <c r="P58" s="2399" t="s">
        <v>2410</v>
      </c>
      <c r="Q58" s="2400">
        <f ca="1">L60</f>
        <v>0</v>
      </c>
      <c r="R58" s="2403" t="s">
        <v>2412</v>
      </c>
    </row>
    <row r="59" spans="1:18" s="2059" customFormat="1" ht="28.5" customHeight="1" thickBot="1">
      <c r="A59" s="1647" t="s">
        <v>1832</v>
      </c>
      <c r="B59" s="782" t="s">
        <v>660</v>
      </c>
      <c r="C59" s="53">
        <f ca="1">ROUND(C47*F59/1.05,1)</f>
        <v>0</v>
      </c>
      <c r="D59" s="2639" t="s">
        <v>1757</v>
      </c>
      <c r="E59" s="782" t="s">
        <v>1748</v>
      </c>
      <c r="F59" s="807">
        <f t="shared" ref="F59:F65" si="0">F32</f>
        <v>5.6000000000000001E-2</v>
      </c>
      <c r="I59" s="3165" t="s">
        <v>2358</v>
      </c>
      <c r="J59" s="3166">
        <f ca="1">IF(OR(M47="住宅",J51&lt;L48,J56="是"),"——",ROUND(C29*J58,0))</f>
        <v>6584</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7" t="s">
        <v>1833</v>
      </c>
      <c r="B60" s="782" t="s">
        <v>1759</v>
      </c>
      <c r="C60" s="53">
        <f ca="1">IF(D60="按租金收入计税",ROUND(C47*F60,1),IF(D60="按房产原值计税",ROUND(C56*F60*0.7,1),INDIRECT("'数据-取费表'!Aj"&amp;$G$1)))</f>
        <v>0</v>
      </c>
      <c r="D60" s="2639" t="str">
        <f>D33</f>
        <v>按租金收入计税</v>
      </c>
      <c r="E60" s="782" t="s">
        <v>1748</v>
      </c>
      <c r="F60" s="807">
        <f t="shared" si="0"/>
        <v>0.12</v>
      </c>
      <c r="I60" s="3167" t="s">
        <v>2359</v>
      </c>
      <c r="J60" s="3168">
        <f ca="1">IF(OR(M47="住宅",J51&lt;L48,J56="是"),"0",ROUND(J59/(1+J52)^J53,0))</f>
        <v>111</v>
      </c>
      <c r="K60" s="3169" t="s">
        <v>2364</v>
      </c>
      <c r="L60" s="3168">
        <f ca="1">IF(OR(M47="住宅",L48&lt;J51),0,ROUND(L57*(L58/L59-1),0))</f>
        <v>0</v>
      </c>
      <c r="O60" s="2401" t="s">
        <v>2382</v>
      </c>
      <c r="P60" s="2399" t="s">
        <v>2391</v>
      </c>
      <c r="Q60" s="2402">
        <f>L52</f>
        <v>0</v>
      </c>
      <c r="R60" s="2403"/>
    </row>
    <row r="61" spans="1:18" s="2059" customFormat="1" ht="18" customHeight="1" thickBot="1">
      <c r="A61" s="1650" t="s">
        <v>1834</v>
      </c>
      <c r="B61" s="339" t="s">
        <v>668</v>
      </c>
      <c r="C61" s="54">
        <f ca="1">ROUND(F61*F62/10000,1)</f>
        <v>3.9</v>
      </c>
      <c r="D61" s="812" t="s">
        <v>669</v>
      </c>
      <c r="E61" s="782" t="s">
        <v>670</v>
      </c>
      <c r="F61" s="638">
        <f t="shared" si="0"/>
        <v>3</v>
      </c>
      <c r="K61" s="2086"/>
      <c r="O61" s="2401" t="s">
        <v>2384</v>
      </c>
      <c r="P61" s="2399" t="s">
        <v>2392</v>
      </c>
      <c r="Q61" s="2400" t="e">
        <f ca="1">L58</f>
        <v>#DIV/0!</v>
      </c>
      <c r="R61" s="2403" t="s">
        <v>2393</v>
      </c>
    </row>
    <row r="62" spans="1:18" s="2059" customFormat="1" ht="15.75" thickBot="1">
      <c r="A62" s="813"/>
      <c r="B62" s="791"/>
      <c r="C62" s="69"/>
      <c r="D62" s="814"/>
      <c r="E62" s="782" t="s">
        <v>674</v>
      </c>
      <c r="F62" s="783">
        <f t="shared" ca="1" si="0"/>
        <v>12902.41</v>
      </c>
      <c r="I62" s="3170" t="s">
        <v>2365</v>
      </c>
      <c r="J62" s="3171" t="s">
        <v>2366</v>
      </c>
      <c r="K62" s="3171" t="s">
        <v>2367</v>
      </c>
      <c r="L62" s="3171" t="s">
        <v>2348</v>
      </c>
      <c r="M62" s="3172" t="s">
        <v>2930</v>
      </c>
      <c r="O62" s="2401" t="s">
        <v>2386</v>
      </c>
      <c r="P62" s="2399" t="str">
        <f>K59</f>
        <v>建设期及建筑物耐用年限下的土地年期修正系数Kn</v>
      </c>
      <c r="Q62" s="2400" t="e">
        <f ca="1">L59</f>
        <v>#DIV/0!</v>
      </c>
      <c r="R62" s="2403" t="s">
        <v>2395</v>
      </c>
    </row>
    <row r="63" spans="1:18" s="2059" customFormat="1" ht="15.75" thickBot="1">
      <c r="A63" s="1648" t="s">
        <v>1890</v>
      </c>
      <c r="B63" s="782" t="s">
        <v>676</v>
      </c>
      <c r="C63" s="53">
        <f ca="1">ROUND(C56*F63,1)</f>
        <v>82.3</v>
      </c>
      <c r="D63" s="2639" t="s">
        <v>1804</v>
      </c>
      <c r="E63" s="782" t="s">
        <v>1748</v>
      </c>
      <c r="F63" s="815">
        <f t="shared" ca="1" si="0"/>
        <v>5.0000000000000001E-3</v>
      </c>
      <c r="I63" s="3170" t="s">
        <v>2368</v>
      </c>
      <c r="J63" s="3171">
        <v>70</v>
      </c>
      <c r="K63" s="3171">
        <v>50</v>
      </c>
      <c r="L63" s="3171">
        <v>80</v>
      </c>
      <c r="M63" s="3173">
        <v>0.02</v>
      </c>
      <c r="O63" s="2398" t="s">
        <v>2389</v>
      </c>
      <c r="P63" s="2399" t="s">
        <v>2406</v>
      </c>
      <c r="Q63" s="2400">
        <f ca="1">Q57+Q58</f>
        <v>65728</v>
      </c>
      <c r="R63" s="2403" t="s">
        <v>2390</v>
      </c>
    </row>
    <row r="64" spans="1:18" s="2059" customFormat="1" ht="16.5" thickBot="1">
      <c r="A64" s="1648" t="s">
        <v>1891</v>
      </c>
      <c r="B64" s="782" t="s">
        <v>679</v>
      </c>
      <c r="C64" s="53">
        <f ca="1">ROUND(C55*F64,1)</f>
        <v>16.5</v>
      </c>
      <c r="D64" s="2639" t="s">
        <v>680</v>
      </c>
      <c r="E64" s="782" t="s">
        <v>1748</v>
      </c>
      <c r="F64" s="816">
        <f t="shared" ca="1" si="0"/>
        <v>1E-3</v>
      </c>
      <c r="I64" s="3170" t="s">
        <v>2369</v>
      </c>
      <c r="J64" s="3171">
        <v>50</v>
      </c>
      <c r="K64" s="3171">
        <v>35</v>
      </c>
      <c r="L64" s="3171">
        <v>60</v>
      </c>
      <c r="M64" s="844">
        <v>0</v>
      </c>
      <c r="O64" s="2404" t="s">
        <v>2413</v>
      </c>
      <c r="P64" s="1591"/>
      <c r="Q64" s="1603"/>
      <c r="R64" s="1591"/>
    </row>
    <row r="65" spans="1:18" s="2059" customFormat="1" ht="15.75" thickBot="1">
      <c r="A65" s="1648" t="s">
        <v>1892</v>
      </c>
      <c r="B65" s="782" t="s">
        <v>666</v>
      </c>
      <c r="C65" s="53">
        <f ca="1">ROUND(C47*F65,1)</f>
        <v>0</v>
      </c>
      <c r="D65" s="2639" t="s">
        <v>683</v>
      </c>
      <c r="E65" s="782" t="s">
        <v>1748</v>
      </c>
      <c r="F65" s="792">
        <f t="shared" ca="1" si="0"/>
        <v>0.01</v>
      </c>
      <c r="I65" s="3170" t="s">
        <v>2370</v>
      </c>
      <c r="J65" s="3171">
        <v>40</v>
      </c>
      <c r="K65" s="3171">
        <v>30</v>
      </c>
      <c r="L65" s="3171">
        <v>50</v>
      </c>
      <c r="M65" s="3173">
        <v>0.02</v>
      </c>
      <c r="O65" s="2395" t="s">
        <v>2373</v>
      </c>
      <c r="P65" s="2396" t="s">
        <v>2374</v>
      </c>
      <c r="Q65" s="2397" t="s">
        <v>2375</v>
      </c>
      <c r="R65" s="2396" t="s">
        <v>2376</v>
      </c>
    </row>
    <row r="66" spans="1:18" s="2059" customFormat="1" ht="24.75" thickBot="1">
      <c r="A66" s="795" t="s">
        <v>1777</v>
      </c>
      <c r="B66" s="3011" t="s">
        <v>2819</v>
      </c>
      <c r="C66" s="797">
        <f ca="1">C47-C57</f>
        <v>-103</v>
      </c>
      <c r="D66" s="2638" t="s">
        <v>700</v>
      </c>
      <c r="E66" s="2637"/>
      <c r="F66" s="818"/>
      <c r="K66" s="2086"/>
      <c r="O66" s="2398" t="s">
        <v>2377</v>
      </c>
      <c r="P66" s="2399" t="s">
        <v>2407</v>
      </c>
      <c r="Q66" s="2400">
        <f ca="1">C40+J29</f>
        <v>65728</v>
      </c>
      <c r="R66" s="2399" t="s">
        <v>2378</v>
      </c>
    </row>
    <row r="67" spans="1:18" s="2059" customFormat="1" ht="20.25" thickBot="1">
      <c r="A67" s="779" t="s">
        <v>1781</v>
      </c>
      <c r="B67" s="2232" t="s">
        <v>2301</v>
      </c>
      <c r="C67" s="781">
        <f ca="1">ROUND(C66*(1-((1+F69)/(1+F67))^F68)/(F67-F69),0)</f>
        <v>-1856</v>
      </c>
      <c r="D67" s="812" t="s">
        <v>704</v>
      </c>
      <c r="E67" s="782" t="s">
        <v>705</v>
      </c>
      <c r="F67" s="792">
        <f ca="1">F40</f>
        <v>0.05</v>
      </c>
      <c r="K67" s="2086"/>
      <c r="O67" s="2398" t="s">
        <v>2379</v>
      </c>
      <c r="P67" s="2399" t="s">
        <v>2410</v>
      </c>
      <c r="Q67" s="2400">
        <f ca="1">L60</f>
        <v>0</v>
      </c>
      <c r="R67" s="2403" t="s">
        <v>2412</v>
      </c>
    </row>
    <row r="68" spans="1:18" ht="21.75" thickBot="1">
      <c r="A68" s="784"/>
      <c r="B68" s="785"/>
      <c r="C68" s="786"/>
      <c r="D68" s="819" t="s">
        <v>1809</v>
      </c>
      <c r="E68" s="782" t="s">
        <v>1785</v>
      </c>
      <c r="F68" s="820">
        <f ca="1">F41</f>
        <v>47.4</v>
      </c>
      <c r="O68" s="2401" t="s">
        <v>2381</v>
      </c>
      <c r="P68" s="2399" t="s">
        <v>2411</v>
      </c>
      <c r="Q68" s="2405">
        <f ca="1">L51</f>
        <v>51998</v>
      </c>
      <c r="R68" s="2406" t="s">
        <v>2414</v>
      </c>
    </row>
    <row r="69" spans="1:18" ht="20.25" thickBot="1">
      <c r="A69" s="788"/>
      <c r="B69" s="789"/>
      <c r="C69" s="790"/>
      <c r="D69" s="814"/>
      <c r="E69" s="782" t="s">
        <v>710</v>
      </c>
      <c r="F69" s="2371"/>
      <c r="O69" s="2401" t="s">
        <v>2382</v>
      </c>
      <c r="P69" s="2407" t="s">
        <v>2396</v>
      </c>
      <c r="Q69" s="2400">
        <f ca="1">ROUND(Q70-Q71*Q72,0)</f>
        <v>2640</v>
      </c>
      <c r="R69" s="2403"/>
    </row>
    <row r="70" spans="1:18" ht="15.75" thickBot="1">
      <c r="A70" s="821" t="s">
        <v>1788</v>
      </c>
      <c r="B70" s="822" t="s">
        <v>1811</v>
      </c>
      <c r="C70" s="823">
        <f ca="1">ROUND(C67*10000/F70,0)</f>
        <v>-455</v>
      </c>
      <c r="D70" s="824" t="s">
        <v>1812</v>
      </c>
      <c r="E70" s="825" t="s">
        <v>1813</v>
      </c>
      <c r="F70" s="826">
        <f ca="1">F43</f>
        <v>40836.03</v>
      </c>
      <c r="O70" s="2401" t="s">
        <v>2397</v>
      </c>
      <c r="P70" s="2407" t="s">
        <v>2398</v>
      </c>
      <c r="Q70" s="2400">
        <f ca="1">C39</f>
        <v>2640</v>
      </c>
      <c r="R70" s="2399" t="s">
        <v>2378</v>
      </c>
    </row>
    <row r="71" spans="1:18" ht="15.75" thickBot="1">
      <c r="O71" s="2401" t="s">
        <v>2399</v>
      </c>
      <c r="P71" s="2407" t="s">
        <v>2400</v>
      </c>
      <c r="Q71" s="2400">
        <f ca="1">C13</f>
        <v>16459</v>
      </c>
      <c r="R71" s="2399" t="s">
        <v>2378</v>
      </c>
    </row>
    <row r="72" spans="1:18" ht="15.75" thickBot="1">
      <c r="O72" s="2401" t="s">
        <v>2401</v>
      </c>
      <c r="P72" s="2407" t="s">
        <v>2402</v>
      </c>
      <c r="Q72" s="2402">
        <f ca="1">J36</f>
        <v>0</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65728</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2303</v>
      </c>
      <c r="C1" s="3481" t="s">
        <v>2304</v>
      </c>
      <c r="D1" s="3482"/>
      <c r="E1" s="3482"/>
      <c r="F1" s="3482"/>
      <c r="G1" s="3482"/>
      <c r="H1" s="3482"/>
      <c r="I1" s="3482"/>
      <c r="J1" s="3482"/>
      <c r="K1" s="3482"/>
      <c r="L1" s="3482"/>
      <c r="M1" s="3482"/>
      <c r="N1" s="3482"/>
      <c r="O1" s="3482"/>
      <c r="P1" s="3482"/>
      <c r="Q1" s="3482"/>
      <c r="R1" s="3482"/>
      <c r="S1" s="34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2914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2913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2912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2927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2911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3">
        <f>SUM(B24:B10000)</f>
        <v>0</v>
      </c>
      <c r="C22" s="3478" t="s">
        <v>20</v>
      </c>
      <c r="D22" s="3479"/>
      <c r="E22" s="3479"/>
      <c r="F22" s="3479"/>
      <c r="G22" s="3479"/>
      <c r="H22" s="3479"/>
      <c r="I22" s="3479"/>
      <c r="J22" s="3479"/>
      <c r="K22" s="3479"/>
      <c r="L22" s="3479"/>
      <c r="M22" s="3479"/>
      <c r="N22" s="3479"/>
      <c r="O22" s="3479"/>
      <c r="P22" s="3479"/>
      <c r="Q22" s="3480"/>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葛洲坝（北京）发展有限公司：</v>
      </c>
    </row>
    <row r="4" spans="1:4" ht="56.25">
      <c r="A4" s="1791" t="str">
        <f>"受贵公司委托，我公司对"&amp;项目基本情况!K2&amp;项目基本情况!B9&amp;"进行了预评估。"</f>
        <v>受贵公司委托，我公司对北京市海淀区“海淀北部地区整体开发”翠湖科技园HD00-0303-6022地块R2二类居住用地出让国有建设用地使用权抵押价格进行了预评估。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海淀北部地区整体开发”翠湖科技园HD00-0303-6022地块R2二类居住用地出让国有建设用地使用权。根据《出让合同》[]，估价对象（分摊）出让国有建设用地使用权面积为70934.91平方米。根据《建设工程规划许可证》[]、《出让合同》[]，估价对象规划建筑面积为229492.14平方米。</v>
      </c>
    </row>
    <row r="7" spans="1:4" ht="93.75">
      <c r="A7" s="2873" t="s">
        <v>2745</v>
      </c>
    </row>
    <row r="8" spans="1:4" ht="18.75">
      <c r="A8" s="1794" t="s">
        <v>1907</v>
      </c>
    </row>
    <row r="9" spans="1:4" ht="75">
      <c r="A9" s="1796" t="str">
        <f>IF(项目基本情况!B8="抵押",IF(项目基本情况!B5=项目基本情况!B6,定义!C51,定义!B51),定义!D51)</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2018年10月11日（评估专业人员勘察现场之日）</v>
      </c>
    </row>
    <row r="12" spans="1:4" ht="18.75">
      <c r="A12" s="1797" t="s">
        <v>2025</v>
      </c>
    </row>
    <row r="13" spans="1:4" ht="18.75">
      <c r="A13" s="1791" t="s">
        <v>2071</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本次评估设定用途即为证载用途住宅、仓储、车库。</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1"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根据《出让合同》[]，估价对象（分摊）出让国有建设用地使用权面积为70934.91平方米。根据《建设工程规划许可证》[]、《出让合同》[]，估价对象规划建筑面积为229492.14平方米。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2746</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43384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
  <sheetViews>
    <sheetView topLeftCell="A22" workbookViewId="0">
      <selection activeCell="L3" sqref="L3"/>
    </sheetView>
  </sheetViews>
  <sheetFormatPr defaultRowHeight="13.5"/>
  <sheetData>
    <row r="1" spans="1:44" s="3183" customFormat="1">
      <c r="A1" s="3183" t="s">
        <v>3096</v>
      </c>
      <c r="B1" s="3183" t="s">
        <v>1948</v>
      </c>
      <c r="C1" s="3183" t="s">
        <v>3097</v>
      </c>
      <c r="D1" s="3183" t="s">
        <v>3073</v>
      </c>
      <c r="E1" s="3183" t="s">
        <v>2815</v>
      </c>
      <c r="F1" s="3183" t="s">
        <v>3098</v>
      </c>
      <c r="G1" s="3183" t="s">
        <v>3075</v>
      </c>
      <c r="H1" s="3183" t="s">
        <v>3099</v>
      </c>
      <c r="I1" s="3183" t="s">
        <v>3100</v>
      </c>
      <c r="J1" s="3183">
        <v>105309.9</v>
      </c>
      <c r="K1" s="3183">
        <v>201320</v>
      </c>
      <c r="L1" s="3183">
        <v>1.91</v>
      </c>
      <c r="M1" s="3183" t="s">
        <v>2815</v>
      </c>
      <c r="N1" s="3183" t="s">
        <v>3078</v>
      </c>
      <c r="O1" s="3183" t="s">
        <v>3101</v>
      </c>
      <c r="P1" s="3183" t="s">
        <v>2815</v>
      </c>
      <c r="Q1" s="3183" t="s">
        <v>2815</v>
      </c>
      <c r="R1" s="3183" t="s">
        <v>2815</v>
      </c>
      <c r="S1" s="3183" t="s">
        <v>2815</v>
      </c>
      <c r="T1" s="3183" t="s">
        <v>3080</v>
      </c>
      <c r="U1" s="3183" t="s">
        <v>3081</v>
      </c>
      <c r="V1" s="3183" t="s">
        <v>2815</v>
      </c>
      <c r="W1" s="3183" t="s">
        <v>3082</v>
      </c>
      <c r="X1" s="3183" t="s">
        <v>3102</v>
      </c>
      <c r="Y1" s="3183" t="s">
        <v>3103</v>
      </c>
      <c r="Z1" s="3183" t="s">
        <v>3104</v>
      </c>
      <c r="AA1" s="3183" t="s">
        <v>3104</v>
      </c>
      <c r="AB1" s="3183" t="s">
        <v>3099</v>
      </c>
      <c r="AC1" s="3183" t="s">
        <v>3086</v>
      </c>
      <c r="AD1" s="3183" t="s">
        <v>3105</v>
      </c>
      <c r="AE1" s="3183">
        <v>210000</v>
      </c>
      <c r="AF1" s="3183">
        <v>692500</v>
      </c>
      <c r="AG1" s="3183">
        <v>762000</v>
      </c>
      <c r="AH1" s="3183">
        <v>4383.8900000000003</v>
      </c>
      <c r="AI1" s="3183">
        <v>4823.8599999999997</v>
      </c>
      <c r="AJ1" s="3183">
        <v>34397.97</v>
      </c>
      <c r="AK1" s="3186">
        <v>37850.19</v>
      </c>
      <c r="AL1" s="3183" t="s">
        <v>2815</v>
      </c>
      <c r="AM1" s="3183" t="s">
        <v>2815</v>
      </c>
      <c r="AN1" s="3183">
        <v>10.039999999999999</v>
      </c>
      <c r="AO1" s="3183" t="s">
        <v>3088</v>
      </c>
      <c r="AP1" s="3183" t="s">
        <v>2815</v>
      </c>
      <c r="AQ1" s="3183" t="s">
        <v>2815</v>
      </c>
      <c r="AR1" s="3183" t="s">
        <v>2815</v>
      </c>
    </row>
    <row r="2" spans="1:44" s="3185" customFormat="1">
      <c r="A2" s="3185" t="s">
        <v>3125</v>
      </c>
      <c r="B2" s="3185" t="s">
        <v>1948</v>
      </c>
      <c r="C2" s="3185" t="s">
        <v>3072</v>
      </c>
      <c r="D2" s="3185" t="s">
        <v>3073</v>
      </c>
      <c r="E2" s="3185" t="s">
        <v>2815</v>
      </c>
      <c r="F2" s="3185" t="s">
        <v>3074</v>
      </c>
      <c r="G2" s="3185" t="s">
        <v>3075</v>
      </c>
      <c r="H2" s="3185" t="s">
        <v>3126</v>
      </c>
      <c r="I2" s="3185" t="s">
        <v>3077</v>
      </c>
      <c r="J2" s="3185">
        <v>82336.42</v>
      </c>
      <c r="K2" s="3185">
        <v>139022</v>
      </c>
      <c r="L2" s="3185">
        <v>1.8</v>
      </c>
      <c r="M2" s="3185" t="s">
        <v>2815</v>
      </c>
      <c r="N2" s="3185" t="s">
        <v>3078</v>
      </c>
      <c r="O2" s="3185" t="s">
        <v>3128</v>
      </c>
      <c r="P2" s="3185" t="s">
        <v>2815</v>
      </c>
      <c r="Q2" s="3185" t="s">
        <v>2815</v>
      </c>
      <c r="R2" s="3185" t="s">
        <v>2815</v>
      </c>
      <c r="S2" s="3185" t="s">
        <v>2815</v>
      </c>
      <c r="T2" s="3185" t="s">
        <v>3080</v>
      </c>
      <c r="U2" s="3185" t="s">
        <v>3120</v>
      </c>
      <c r="V2" s="3185" t="s">
        <v>2815</v>
      </c>
      <c r="W2" s="3185" t="s">
        <v>3082</v>
      </c>
      <c r="X2" s="3185" t="s">
        <v>3129</v>
      </c>
      <c r="Y2" s="3185" t="s">
        <v>3130</v>
      </c>
      <c r="Z2" s="3185" t="s">
        <v>3131</v>
      </c>
      <c r="AA2" s="3185" t="s">
        <v>3131</v>
      </c>
      <c r="AB2" s="3185" t="s">
        <v>3126</v>
      </c>
      <c r="AC2" s="3185" t="s">
        <v>3086</v>
      </c>
      <c r="AD2" s="3185" t="s">
        <v>3132</v>
      </c>
      <c r="AE2" s="3185">
        <v>146000</v>
      </c>
      <c r="AF2" s="3185">
        <v>484000</v>
      </c>
      <c r="AG2" s="3185">
        <v>580800</v>
      </c>
      <c r="AH2" s="3185">
        <v>3918.88</v>
      </c>
      <c r="AI2" s="3185">
        <v>4702.66</v>
      </c>
      <c r="AJ2" s="3185">
        <v>34814.629999999997</v>
      </c>
      <c r="AK2" s="3187">
        <v>41777.550000000003</v>
      </c>
      <c r="AL2" s="3185" t="s">
        <v>2815</v>
      </c>
      <c r="AM2" s="3185" t="s">
        <v>2815</v>
      </c>
      <c r="AN2" s="3185">
        <v>20</v>
      </c>
      <c r="AO2" s="3185" t="s">
        <v>3088</v>
      </c>
      <c r="AP2" s="3185" t="s">
        <v>2815</v>
      </c>
      <c r="AQ2" s="3185">
        <v>36</v>
      </c>
      <c r="AR2" s="3185" t="s">
        <v>2815</v>
      </c>
    </row>
    <row r="3" spans="1:44" s="3183" customFormat="1">
      <c r="A3" s="3183" t="s">
        <v>3141</v>
      </c>
      <c r="B3" s="3183" t="s">
        <v>1948</v>
      </c>
      <c r="C3" s="3183" t="s">
        <v>3072</v>
      </c>
      <c r="D3" s="3183" t="s">
        <v>3073</v>
      </c>
      <c r="E3" s="3183" t="s">
        <v>2815</v>
      </c>
      <c r="F3" s="3183" t="s">
        <v>3142</v>
      </c>
      <c r="G3" s="3183" t="s">
        <v>3075</v>
      </c>
      <c r="H3" s="3183" t="s">
        <v>3143</v>
      </c>
      <c r="I3" s="3183" t="s">
        <v>3077</v>
      </c>
      <c r="J3" s="3183">
        <v>83549.62</v>
      </c>
      <c r="K3" s="3183">
        <v>138825</v>
      </c>
      <c r="L3" s="3183">
        <v>1.66</v>
      </c>
      <c r="M3" s="3183" t="s">
        <v>2815</v>
      </c>
      <c r="N3" s="3183" t="s">
        <v>2815</v>
      </c>
      <c r="O3" s="3183" t="s">
        <v>2815</v>
      </c>
      <c r="P3" s="3183" t="s">
        <v>2815</v>
      </c>
      <c r="Q3" s="3183" t="s">
        <v>2815</v>
      </c>
      <c r="R3" s="3183" t="s">
        <v>2815</v>
      </c>
      <c r="S3" s="3183" t="s">
        <v>2815</v>
      </c>
      <c r="T3" s="3183" t="s">
        <v>3144</v>
      </c>
      <c r="U3" s="3183" t="s">
        <v>3144</v>
      </c>
      <c r="V3" s="3183" t="s">
        <v>2815</v>
      </c>
      <c r="W3" s="3183" t="s">
        <v>3082</v>
      </c>
      <c r="X3" s="3183" t="s">
        <v>3145</v>
      </c>
      <c r="Y3" s="3183" t="s">
        <v>3146</v>
      </c>
      <c r="Z3" s="3183" t="s">
        <v>3147</v>
      </c>
      <c r="AA3" s="3183" t="s">
        <v>3147</v>
      </c>
      <c r="AB3" s="3183" t="s">
        <v>3143</v>
      </c>
      <c r="AC3" s="3183" t="s">
        <v>3086</v>
      </c>
      <c r="AD3" s="3183" t="s">
        <v>3148</v>
      </c>
      <c r="AE3" s="3183">
        <v>115000</v>
      </c>
      <c r="AF3" s="3183">
        <v>384000</v>
      </c>
      <c r="AG3" s="3183">
        <v>500000</v>
      </c>
      <c r="AH3" s="3183">
        <v>3064.05</v>
      </c>
      <c r="AI3" s="3183">
        <v>3989.65</v>
      </c>
      <c r="AJ3" s="3183">
        <v>27660.720000000001</v>
      </c>
      <c r="AK3" s="3186">
        <v>36016.559999999998</v>
      </c>
      <c r="AL3" s="3183" t="s">
        <v>2815</v>
      </c>
      <c r="AM3" s="3183" t="s">
        <v>2815</v>
      </c>
      <c r="AN3" s="3183">
        <v>30.21</v>
      </c>
      <c r="AO3" s="3183" t="s">
        <v>3088</v>
      </c>
      <c r="AP3" s="3183" t="s">
        <v>2815</v>
      </c>
      <c r="AQ3" s="3183">
        <v>100</v>
      </c>
      <c r="AR3" s="3183" t="s">
        <v>2815</v>
      </c>
    </row>
    <row r="6" spans="1:44" s="3183" customFormat="1">
      <c r="A6" s="3183" t="s">
        <v>3028</v>
      </c>
      <c r="B6" s="3183" t="s">
        <v>3029</v>
      </c>
      <c r="C6" s="3183" t="s">
        <v>3030</v>
      </c>
      <c r="D6" s="3183" t="s">
        <v>3031</v>
      </c>
      <c r="E6" s="3183" t="s">
        <v>3032</v>
      </c>
      <c r="F6" s="3183" t="s">
        <v>3033</v>
      </c>
      <c r="G6" s="3183" t="s">
        <v>3034</v>
      </c>
      <c r="H6" s="3183" t="s">
        <v>3035</v>
      </c>
      <c r="I6" s="3183" t="s">
        <v>3036</v>
      </c>
      <c r="J6" s="3183" t="s">
        <v>3037</v>
      </c>
      <c r="K6" s="3183" t="s">
        <v>3038</v>
      </c>
      <c r="L6" s="3183" t="s">
        <v>2032</v>
      </c>
      <c r="M6" s="3183" t="s">
        <v>3039</v>
      </c>
      <c r="N6" s="3183" t="s">
        <v>3040</v>
      </c>
      <c r="O6" s="3183" t="s">
        <v>3041</v>
      </c>
      <c r="P6" s="3183" t="s">
        <v>3042</v>
      </c>
      <c r="Q6" s="3183" t="s">
        <v>3043</v>
      </c>
      <c r="R6" s="3183" t="s">
        <v>3044</v>
      </c>
      <c r="S6" s="3183" t="s">
        <v>3045</v>
      </c>
      <c r="T6" s="3183" t="s">
        <v>3046</v>
      </c>
      <c r="U6" s="3183" t="s">
        <v>3047</v>
      </c>
      <c r="V6" s="3183" t="s">
        <v>3048</v>
      </c>
      <c r="W6" s="3183" t="s">
        <v>3049</v>
      </c>
      <c r="X6" s="3183" t="s">
        <v>3050</v>
      </c>
      <c r="Y6" s="3183" t="s">
        <v>3051</v>
      </c>
      <c r="Z6" s="3183" t="s">
        <v>3052</v>
      </c>
      <c r="AA6" s="3183" t="s">
        <v>3053</v>
      </c>
      <c r="AB6" s="3183" t="s">
        <v>3054</v>
      </c>
      <c r="AC6" s="3183" t="s">
        <v>3055</v>
      </c>
      <c r="AD6" s="3183" t="s">
        <v>3056</v>
      </c>
      <c r="AE6" s="3183" t="s">
        <v>3057</v>
      </c>
      <c r="AF6" s="3183" t="s">
        <v>3058</v>
      </c>
      <c r="AG6" s="3183" t="s">
        <v>3059</v>
      </c>
      <c r="AH6" s="3183" t="s">
        <v>3060</v>
      </c>
      <c r="AI6" s="3183" t="s">
        <v>3061</v>
      </c>
      <c r="AJ6" s="3183" t="s">
        <v>3062</v>
      </c>
      <c r="AK6" s="3183" t="s">
        <v>3063</v>
      </c>
      <c r="AL6" s="3183" t="s">
        <v>3064</v>
      </c>
      <c r="AM6" s="3183" t="s">
        <v>3065</v>
      </c>
      <c r="AN6" s="3183" t="s">
        <v>3066</v>
      </c>
      <c r="AO6" s="3183" t="s">
        <v>3067</v>
      </c>
      <c r="AP6" s="3183" t="s">
        <v>3068</v>
      </c>
      <c r="AQ6" s="3183" t="s">
        <v>3069</v>
      </c>
      <c r="AR6" s="3183" t="s">
        <v>3070</v>
      </c>
    </row>
    <row r="7" spans="1:44" s="3184" customFormat="1" ht="12.75">
      <c r="A7" s="3184" t="s">
        <v>3071</v>
      </c>
      <c r="B7" s="3184" t="s">
        <v>1948</v>
      </c>
      <c r="C7" s="3184" t="s">
        <v>3072</v>
      </c>
      <c r="D7" s="3184" t="s">
        <v>3073</v>
      </c>
      <c r="E7" s="3184" t="s">
        <v>2815</v>
      </c>
      <c r="F7" s="3184" t="s">
        <v>3074</v>
      </c>
      <c r="G7" s="3184" t="s">
        <v>3075</v>
      </c>
      <c r="H7" s="3184" t="s">
        <v>3076</v>
      </c>
      <c r="I7" s="3184" t="s">
        <v>3077</v>
      </c>
      <c r="J7" s="3184">
        <v>74772.84</v>
      </c>
      <c r="K7" s="3184">
        <v>134591</v>
      </c>
      <c r="L7" s="3184">
        <v>1.8</v>
      </c>
      <c r="M7" s="3184" t="s">
        <v>2815</v>
      </c>
      <c r="N7" s="3184" t="s">
        <v>3078</v>
      </c>
      <c r="O7" s="3184" t="s">
        <v>3079</v>
      </c>
      <c r="P7" s="3184" t="s">
        <v>2815</v>
      </c>
      <c r="Q7" s="3184" t="s">
        <v>2815</v>
      </c>
      <c r="R7" s="3184" t="s">
        <v>2815</v>
      </c>
      <c r="S7" s="3184" t="s">
        <v>2815</v>
      </c>
      <c r="T7" s="3184" t="s">
        <v>3080</v>
      </c>
      <c r="U7" s="3184" t="s">
        <v>3081</v>
      </c>
      <c r="V7" s="3184" t="s">
        <v>2815</v>
      </c>
      <c r="W7" s="3184" t="s">
        <v>3082</v>
      </c>
      <c r="X7" s="3184" t="s">
        <v>3083</v>
      </c>
      <c r="Y7" s="3184" t="s">
        <v>3084</v>
      </c>
      <c r="Z7" s="3184" t="s">
        <v>3085</v>
      </c>
      <c r="AA7" s="3184" t="s">
        <v>3085</v>
      </c>
      <c r="AB7" s="3184" t="s">
        <v>3076</v>
      </c>
      <c r="AC7" s="3184" t="s">
        <v>3086</v>
      </c>
      <c r="AD7" s="3184" t="s">
        <v>3087</v>
      </c>
      <c r="AE7" s="3184">
        <v>142000</v>
      </c>
      <c r="AF7" s="3184">
        <v>472300</v>
      </c>
      <c r="AG7" s="3184">
        <v>550000</v>
      </c>
      <c r="AH7" s="3184">
        <v>4210.9799999999996</v>
      </c>
      <c r="AI7" s="3184">
        <v>4903.74</v>
      </c>
      <c r="AJ7" s="3184">
        <v>35091.5</v>
      </c>
      <c r="AK7" s="3184">
        <v>40864.550000000003</v>
      </c>
      <c r="AL7" s="3184" t="s">
        <v>2815</v>
      </c>
      <c r="AM7" s="3184" t="s">
        <v>2815</v>
      </c>
      <c r="AN7" s="3184">
        <v>16.45</v>
      </c>
      <c r="AO7" s="3184" t="s">
        <v>3088</v>
      </c>
      <c r="AP7" s="3184" t="s">
        <v>2815</v>
      </c>
      <c r="AQ7" s="3184" t="s">
        <v>2815</v>
      </c>
      <c r="AR7" s="3184" t="s">
        <v>2815</v>
      </c>
    </row>
    <row r="8" spans="1:44" s="3183" customFormat="1">
      <c r="A8" s="3183" t="s">
        <v>3089</v>
      </c>
      <c r="B8" s="3183" t="s">
        <v>1948</v>
      </c>
      <c r="C8" s="3183" t="s">
        <v>3072</v>
      </c>
      <c r="D8" s="3183" t="s">
        <v>3073</v>
      </c>
      <c r="E8" s="3183" t="s">
        <v>2815</v>
      </c>
      <c r="F8" s="3183" t="s">
        <v>3090</v>
      </c>
      <c r="G8" s="3183" t="s">
        <v>3091</v>
      </c>
      <c r="H8" s="3183" t="s">
        <v>3092</v>
      </c>
      <c r="I8" s="3183" t="s">
        <v>3077</v>
      </c>
      <c r="J8" s="3183">
        <v>6180.98</v>
      </c>
      <c r="K8" s="3183">
        <v>32400</v>
      </c>
      <c r="L8" s="3183">
        <v>5.24</v>
      </c>
      <c r="M8" s="3183" t="s">
        <v>2815</v>
      </c>
      <c r="N8" s="3183" t="s">
        <v>2815</v>
      </c>
      <c r="O8" s="3183" t="s">
        <v>2815</v>
      </c>
      <c r="P8" s="3183" t="s">
        <v>2815</v>
      </c>
      <c r="Q8" s="3183" t="s">
        <v>2815</v>
      </c>
      <c r="R8" s="3183" t="s">
        <v>2815</v>
      </c>
      <c r="S8" s="3183" t="s">
        <v>2815</v>
      </c>
      <c r="T8" s="3183" t="s">
        <v>2815</v>
      </c>
      <c r="U8" s="3183" t="s">
        <v>2815</v>
      </c>
      <c r="V8" s="3183" t="s">
        <v>2815</v>
      </c>
      <c r="W8" s="3183" t="s">
        <v>3082</v>
      </c>
      <c r="X8" s="3183" t="s">
        <v>3093</v>
      </c>
      <c r="Y8" s="3183" t="s">
        <v>3094</v>
      </c>
      <c r="Z8" s="3183" t="s">
        <v>3094</v>
      </c>
      <c r="AA8" s="3183" t="s">
        <v>3094</v>
      </c>
      <c r="AB8" s="3183" t="s">
        <v>3092</v>
      </c>
      <c r="AC8" s="3183" t="s">
        <v>3086</v>
      </c>
      <c r="AD8" s="3183" t="s">
        <v>3095</v>
      </c>
      <c r="AE8" s="3183">
        <v>2400</v>
      </c>
      <c r="AF8" s="3183" t="s">
        <v>2815</v>
      </c>
      <c r="AG8" s="3183" t="s">
        <v>2815</v>
      </c>
      <c r="AH8" s="3183" t="s">
        <v>2815</v>
      </c>
      <c r="AI8" s="3183" t="s">
        <v>2815</v>
      </c>
      <c r="AJ8" s="3183" t="s">
        <v>2815</v>
      </c>
      <c r="AK8" s="3183" t="s">
        <v>2815</v>
      </c>
      <c r="AL8" s="3183" t="s">
        <v>2815</v>
      </c>
      <c r="AM8" s="3183" t="s">
        <v>2815</v>
      </c>
      <c r="AN8" s="3183" t="s">
        <v>2815</v>
      </c>
      <c r="AO8" s="3183" t="s">
        <v>3088</v>
      </c>
      <c r="AP8" s="3183" t="s">
        <v>2815</v>
      </c>
      <c r="AQ8" s="3183" t="s">
        <v>2815</v>
      </c>
      <c r="AR8" s="3183" t="s">
        <v>2815</v>
      </c>
    </row>
    <row r="9" spans="1:44" s="3183" customFormat="1">
      <c r="A9" s="3183" t="s">
        <v>3096</v>
      </c>
      <c r="B9" s="3183" t="s">
        <v>1948</v>
      </c>
      <c r="C9" s="3183" t="s">
        <v>3097</v>
      </c>
      <c r="D9" s="3183" t="s">
        <v>3073</v>
      </c>
      <c r="E9" s="3183" t="s">
        <v>2815</v>
      </c>
      <c r="F9" s="3183" t="s">
        <v>3098</v>
      </c>
      <c r="G9" s="3183" t="s">
        <v>3075</v>
      </c>
      <c r="H9" s="3183" t="s">
        <v>3099</v>
      </c>
      <c r="I9" s="3183" t="s">
        <v>3100</v>
      </c>
      <c r="J9" s="3183">
        <v>105309.9</v>
      </c>
      <c r="K9" s="3183">
        <v>201320</v>
      </c>
      <c r="L9" s="3183">
        <v>1.9116899999999999</v>
      </c>
      <c r="M9" s="3183" t="s">
        <v>2815</v>
      </c>
      <c r="N9" s="3183" t="s">
        <v>3078</v>
      </c>
      <c r="O9" s="3183" t="s">
        <v>3101</v>
      </c>
      <c r="P9" s="3183" t="s">
        <v>2815</v>
      </c>
      <c r="Q9" s="3183" t="s">
        <v>2815</v>
      </c>
      <c r="R9" s="3183" t="s">
        <v>2815</v>
      </c>
      <c r="S9" s="3183" t="s">
        <v>2815</v>
      </c>
      <c r="T9" s="3183" t="s">
        <v>3080</v>
      </c>
      <c r="U9" s="3183" t="s">
        <v>3081</v>
      </c>
      <c r="V9" s="3183" t="s">
        <v>2815</v>
      </c>
      <c r="W9" s="3183" t="s">
        <v>3082</v>
      </c>
      <c r="X9" s="3183" t="s">
        <v>3102</v>
      </c>
      <c r="Y9" s="3183" t="s">
        <v>3103</v>
      </c>
      <c r="Z9" s="3183" t="s">
        <v>3104</v>
      </c>
      <c r="AA9" s="3183" t="s">
        <v>3104</v>
      </c>
      <c r="AB9" s="3183" t="s">
        <v>3099</v>
      </c>
      <c r="AC9" s="3183" t="s">
        <v>3086</v>
      </c>
      <c r="AD9" s="3183" t="s">
        <v>3105</v>
      </c>
      <c r="AE9" s="3183">
        <v>210000</v>
      </c>
      <c r="AF9" s="3183">
        <v>692500</v>
      </c>
      <c r="AG9" s="3183">
        <v>762000</v>
      </c>
      <c r="AH9" s="3183">
        <v>4383.8900000000003</v>
      </c>
      <c r="AI9" s="3183">
        <v>4823.8599999999997</v>
      </c>
      <c r="AJ9" s="3183">
        <v>34397.97</v>
      </c>
      <c r="AK9" s="3186">
        <v>37850.19</v>
      </c>
      <c r="AL9" s="3183" t="s">
        <v>2815</v>
      </c>
      <c r="AM9" s="3183" t="s">
        <v>2815</v>
      </c>
      <c r="AN9" s="3183">
        <v>10.039999999999999</v>
      </c>
      <c r="AO9" s="3183" t="s">
        <v>3088</v>
      </c>
      <c r="AP9" s="3183" t="s">
        <v>2815</v>
      </c>
      <c r="AQ9" s="3183" t="s">
        <v>2815</v>
      </c>
      <c r="AR9" s="3183" t="s">
        <v>2815</v>
      </c>
    </row>
    <row r="10" spans="1:44" s="3183" customFormat="1">
      <c r="A10" s="3183" t="s">
        <v>3106</v>
      </c>
      <c r="B10" s="3183" t="s">
        <v>1948</v>
      </c>
      <c r="C10" s="3183" t="s">
        <v>3072</v>
      </c>
      <c r="D10" s="3183" t="s">
        <v>3073</v>
      </c>
      <c r="E10" s="3183" t="s">
        <v>2815</v>
      </c>
      <c r="F10" s="3183" t="s">
        <v>3098</v>
      </c>
      <c r="G10" s="3183" t="s">
        <v>3075</v>
      </c>
      <c r="H10" s="3183" t="s">
        <v>3107</v>
      </c>
      <c r="I10" s="3183" t="s">
        <v>3077</v>
      </c>
      <c r="J10" s="3183">
        <v>84786.55</v>
      </c>
      <c r="K10" s="3183">
        <v>186530</v>
      </c>
      <c r="L10" s="3183">
        <v>2.2000000000000002</v>
      </c>
      <c r="M10" s="3183" t="s">
        <v>2815</v>
      </c>
      <c r="N10" s="3183" t="s">
        <v>3078</v>
      </c>
      <c r="O10" s="3183" t="s">
        <v>3108</v>
      </c>
      <c r="P10" s="3183" t="s">
        <v>2815</v>
      </c>
      <c r="Q10" s="3183" t="s">
        <v>2815</v>
      </c>
      <c r="R10" s="3183" t="s">
        <v>2815</v>
      </c>
      <c r="S10" s="3183" t="s">
        <v>3109</v>
      </c>
      <c r="T10" s="3183" t="s">
        <v>3110</v>
      </c>
      <c r="U10" s="3183" t="s">
        <v>3110</v>
      </c>
      <c r="V10" s="3183" t="s">
        <v>2815</v>
      </c>
      <c r="W10" s="3183" t="s">
        <v>3082</v>
      </c>
      <c r="X10" s="3183" t="s">
        <v>3111</v>
      </c>
      <c r="Y10" s="3183" t="s">
        <v>3112</v>
      </c>
      <c r="Z10" s="3183" t="s">
        <v>3113</v>
      </c>
      <c r="AA10" s="3183" t="s">
        <v>3113</v>
      </c>
      <c r="AB10" s="3183" t="s">
        <v>3107</v>
      </c>
      <c r="AC10" s="3183" t="s">
        <v>3086</v>
      </c>
      <c r="AD10" s="3183" t="s">
        <v>3114</v>
      </c>
      <c r="AE10" s="3183">
        <v>160000</v>
      </c>
      <c r="AF10" s="3183">
        <v>532800</v>
      </c>
      <c r="AG10" s="3183">
        <v>535500</v>
      </c>
      <c r="AH10" s="3183">
        <v>4189.34</v>
      </c>
      <c r="AI10" s="3183">
        <v>4210.57</v>
      </c>
      <c r="AJ10" s="3183">
        <v>28563.77</v>
      </c>
      <c r="AK10" s="3183">
        <v>28708.52</v>
      </c>
      <c r="AL10" s="3183" t="s">
        <v>2815</v>
      </c>
      <c r="AM10" s="3183" t="s">
        <v>2815</v>
      </c>
      <c r="AN10" s="3183">
        <v>0.51</v>
      </c>
      <c r="AO10" s="3183" t="s">
        <v>3088</v>
      </c>
      <c r="AP10" s="3183" t="s">
        <v>2815</v>
      </c>
      <c r="AQ10" s="3183" t="s">
        <v>2815</v>
      </c>
      <c r="AR10" s="3183" t="s">
        <v>2815</v>
      </c>
    </row>
    <row r="11" spans="1:44" s="3183" customFormat="1">
      <c r="A11" s="3183" t="s">
        <v>3115</v>
      </c>
      <c r="B11" s="3183" t="s">
        <v>1948</v>
      </c>
      <c r="C11" s="3183" t="s">
        <v>3072</v>
      </c>
      <c r="D11" s="3183" t="s">
        <v>3073</v>
      </c>
      <c r="E11" s="3183" t="s">
        <v>2815</v>
      </c>
      <c r="F11" s="3183" t="s">
        <v>3116</v>
      </c>
      <c r="G11" s="3183" t="s">
        <v>3075</v>
      </c>
      <c r="H11" s="3183" t="s">
        <v>3117</v>
      </c>
      <c r="I11" s="3183" t="s">
        <v>3118</v>
      </c>
      <c r="J11" s="3183">
        <v>10423.85</v>
      </c>
      <c r="K11" s="3183">
        <v>31272</v>
      </c>
      <c r="L11" s="3183">
        <v>3</v>
      </c>
      <c r="M11" s="3183" t="s">
        <v>2815</v>
      </c>
      <c r="N11" s="3183" t="s">
        <v>2815</v>
      </c>
      <c r="O11" s="3183" t="s">
        <v>3119</v>
      </c>
      <c r="P11" s="3183" t="s">
        <v>2815</v>
      </c>
      <c r="Q11" s="3183" t="s">
        <v>2815</v>
      </c>
      <c r="R11" s="3183" t="s">
        <v>2815</v>
      </c>
      <c r="S11" s="3183" t="s">
        <v>2815</v>
      </c>
      <c r="T11" s="3183" t="s">
        <v>3080</v>
      </c>
      <c r="U11" s="3183" t="s">
        <v>3120</v>
      </c>
      <c r="V11" s="3183" t="s">
        <v>2815</v>
      </c>
      <c r="W11" s="3183" t="s">
        <v>3082</v>
      </c>
      <c r="X11" s="3183" t="s">
        <v>3121</v>
      </c>
      <c r="Y11" s="3183" t="s">
        <v>3122</v>
      </c>
      <c r="Z11" s="3183" t="s">
        <v>3123</v>
      </c>
      <c r="AA11" s="3183" t="s">
        <v>3123</v>
      </c>
      <c r="AB11" s="3183" t="s">
        <v>3117</v>
      </c>
      <c r="AC11" s="3183" t="s">
        <v>3086</v>
      </c>
      <c r="AD11" s="3183" t="s">
        <v>3124</v>
      </c>
      <c r="AE11" s="3183">
        <v>37100</v>
      </c>
      <c r="AF11" s="3183">
        <v>123600</v>
      </c>
      <c r="AG11" s="3183">
        <v>165000</v>
      </c>
      <c r="AH11" s="3183">
        <v>7904.95</v>
      </c>
      <c r="AI11" s="3183">
        <v>10552.72</v>
      </c>
      <c r="AJ11" s="3183">
        <v>39524.17</v>
      </c>
      <c r="AK11" s="3183">
        <v>52762.84</v>
      </c>
      <c r="AL11" s="3183" t="s">
        <v>2815</v>
      </c>
      <c r="AM11" s="3183" t="s">
        <v>2815</v>
      </c>
      <c r="AN11" s="3183">
        <v>33.5</v>
      </c>
      <c r="AO11" s="3183" t="s">
        <v>3088</v>
      </c>
      <c r="AP11" s="3183" t="s">
        <v>2815</v>
      </c>
      <c r="AQ11" s="3183">
        <v>36</v>
      </c>
      <c r="AR11" s="3183" t="s">
        <v>2815</v>
      </c>
    </row>
    <row r="12" spans="1:44" s="3185" customFormat="1">
      <c r="A12" s="3185" t="s">
        <v>3125</v>
      </c>
      <c r="B12" s="3185" t="s">
        <v>1948</v>
      </c>
      <c r="C12" s="3185" t="s">
        <v>3072</v>
      </c>
      <c r="D12" s="3185" t="s">
        <v>3073</v>
      </c>
      <c r="E12" s="3185" t="s">
        <v>2815</v>
      </c>
      <c r="F12" s="3185" t="s">
        <v>3074</v>
      </c>
      <c r="G12" s="3185" t="s">
        <v>3075</v>
      </c>
      <c r="H12" s="3185" t="s">
        <v>3126</v>
      </c>
      <c r="I12" s="3185" t="s">
        <v>3077</v>
      </c>
      <c r="J12" s="3185">
        <v>82336.42</v>
      </c>
      <c r="K12" s="3185">
        <v>139022</v>
      </c>
      <c r="L12" s="3185" t="s">
        <v>3127</v>
      </c>
      <c r="M12" s="3185" t="s">
        <v>2815</v>
      </c>
      <c r="N12" s="3185" t="s">
        <v>3078</v>
      </c>
      <c r="O12" s="3185" t="s">
        <v>3128</v>
      </c>
      <c r="P12" s="3185" t="s">
        <v>2815</v>
      </c>
      <c r="Q12" s="3185" t="s">
        <v>2815</v>
      </c>
      <c r="R12" s="3185" t="s">
        <v>2815</v>
      </c>
      <c r="S12" s="3185" t="s">
        <v>2815</v>
      </c>
      <c r="T12" s="3185" t="s">
        <v>3080</v>
      </c>
      <c r="U12" s="3185" t="s">
        <v>3120</v>
      </c>
      <c r="V12" s="3185" t="s">
        <v>2815</v>
      </c>
      <c r="W12" s="3185" t="s">
        <v>3082</v>
      </c>
      <c r="X12" s="3185" t="s">
        <v>3129</v>
      </c>
      <c r="Y12" s="3185" t="s">
        <v>3130</v>
      </c>
      <c r="Z12" s="3185" t="s">
        <v>3131</v>
      </c>
      <c r="AA12" s="3185" t="s">
        <v>3131</v>
      </c>
      <c r="AB12" s="3185" t="s">
        <v>3126</v>
      </c>
      <c r="AC12" s="3185" t="s">
        <v>3086</v>
      </c>
      <c r="AD12" s="3185" t="s">
        <v>3132</v>
      </c>
      <c r="AE12" s="3185">
        <v>146000</v>
      </c>
      <c r="AF12" s="3185">
        <v>484000</v>
      </c>
      <c r="AG12" s="3185">
        <v>580800</v>
      </c>
      <c r="AH12" s="3185">
        <v>3918.88</v>
      </c>
      <c r="AI12" s="3185">
        <v>4702.66</v>
      </c>
      <c r="AJ12" s="3185">
        <v>34814.629999999997</v>
      </c>
      <c r="AK12" s="3187">
        <v>41777.550000000003</v>
      </c>
      <c r="AL12" s="3185" t="s">
        <v>2815</v>
      </c>
      <c r="AM12" s="3185" t="s">
        <v>2815</v>
      </c>
      <c r="AN12" s="3185">
        <v>20</v>
      </c>
      <c r="AO12" s="3185" t="s">
        <v>3088</v>
      </c>
      <c r="AP12" s="3185" t="s">
        <v>2815</v>
      </c>
      <c r="AQ12" s="3185">
        <v>36</v>
      </c>
      <c r="AR12" s="3185" t="s">
        <v>2815</v>
      </c>
    </row>
    <row r="13" spans="1:44" s="3185" customFormat="1">
      <c r="A13" s="3185" t="s">
        <v>3133</v>
      </c>
      <c r="B13" s="3185" t="s">
        <v>1948</v>
      </c>
      <c r="C13" s="3185" t="s">
        <v>3072</v>
      </c>
      <c r="D13" s="3185" t="s">
        <v>3073</v>
      </c>
      <c r="E13" s="3185" t="s">
        <v>2815</v>
      </c>
      <c r="F13" s="3185" t="s">
        <v>3074</v>
      </c>
      <c r="G13" s="3185" t="s">
        <v>3075</v>
      </c>
      <c r="H13" s="3185" t="s">
        <v>3134</v>
      </c>
      <c r="I13" s="3185" t="s">
        <v>3077</v>
      </c>
      <c r="J13" s="3185">
        <v>54881.23</v>
      </c>
      <c r="K13" s="3185">
        <v>104288</v>
      </c>
      <c r="L13" s="3185" t="s">
        <v>3135</v>
      </c>
      <c r="M13" s="3185" t="s">
        <v>2815</v>
      </c>
      <c r="N13" s="3185" t="s">
        <v>3078</v>
      </c>
      <c r="O13" s="3185" t="s">
        <v>3136</v>
      </c>
      <c r="P13" s="3185" t="s">
        <v>3137</v>
      </c>
      <c r="Q13" s="3185">
        <v>55019</v>
      </c>
      <c r="R13" s="3185">
        <v>55019</v>
      </c>
      <c r="S13" s="3185" t="s">
        <v>2815</v>
      </c>
      <c r="T13" s="3185" t="s">
        <v>3138</v>
      </c>
      <c r="U13" s="3185" t="s">
        <v>3139</v>
      </c>
      <c r="V13" s="3185" t="s">
        <v>2815</v>
      </c>
      <c r="W13" s="3185" t="s">
        <v>3082</v>
      </c>
      <c r="X13" s="3185" t="s">
        <v>3129</v>
      </c>
      <c r="Y13" s="3185" t="s">
        <v>3130</v>
      </c>
      <c r="Z13" s="3185" t="s">
        <v>3131</v>
      </c>
      <c r="AA13" s="3185" t="s">
        <v>3131</v>
      </c>
      <c r="AB13" s="3185" t="s">
        <v>3134</v>
      </c>
      <c r="AC13" s="3185" t="s">
        <v>3086</v>
      </c>
      <c r="AD13" s="3185" t="s">
        <v>3140</v>
      </c>
      <c r="AE13" s="3185">
        <v>48000</v>
      </c>
      <c r="AF13" s="3185">
        <v>157000</v>
      </c>
      <c r="AG13" s="3185">
        <v>180550</v>
      </c>
      <c r="AH13" s="3185">
        <v>1907.15</v>
      </c>
      <c r="AI13" s="3185">
        <v>2193.2199999999998</v>
      </c>
      <c r="AJ13" s="3185">
        <v>15054.46</v>
      </c>
      <c r="AK13" s="3185">
        <v>17312.63</v>
      </c>
      <c r="AL13" s="3185">
        <v>31866</v>
      </c>
      <c r="AM13" s="3185">
        <v>36646</v>
      </c>
      <c r="AN13" s="3185">
        <v>15</v>
      </c>
      <c r="AO13" s="3185" t="s">
        <v>3088</v>
      </c>
      <c r="AP13" s="3185" t="s">
        <v>2815</v>
      </c>
      <c r="AQ13" s="3185">
        <v>44</v>
      </c>
      <c r="AR13" s="3185" t="s">
        <v>2815</v>
      </c>
    </row>
    <row r="14" spans="1:44" s="3183" customFormat="1">
      <c r="A14" s="3183" t="s">
        <v>3141</v>
      </c>
      <c r="B14" s="3183" t="s">
        <v>1948</v>
      </c>
      <c r="C14" s="3183" t="s">
        <v>3072</v>
      </c>
      <c r="D14" s="3183" t="s">
        <v>3073</v>
      </c>
      <c r="E14" s="3183" t="s">
        <v>2815</v>
      </c>
      <c r="F14" s="3183" t="s">
        <v>3142</v>
      </c>
      <c r="G14" s="3183" t="s">
        <v>3075</v>
      </c>
      <c r="H14" s="3183" t="s">
        <v>3143</v>
      </c>
      <c r="I14" s="3183" t="s">
        <v>3077</v>
      </c>
      <c r="J14" s="3183">
        <v>83549.62</v>
      </c>
      <c r="K14" s="3183">
        <v>138825</v>
      </c>
      <c r="L14" s="3183">
        <v>1.66</v>
      </c>
      <c r="M14" s="3183" t="s">
        <v>2815</v>
      </c>
      <c r="N14" s="3183" t="s">
        <v>2815</v>
      </c>
      <c r="O14" s="3183" t="s">
        <v>2815</v>
      </c>
      <c r="P14" s="3183" t="s">
        <v>2815</v>
      </c>
      <c r="Q14" s="3183" t="s">
        <v>2815</v>
      </c>
      <c r="R14" s="3183" t="s">
        <v>2815</v>
      </c>
      <c r="S14" s="3183" t="s">
        <v>2815</v>
      </c>
      <c r="T14" s="3183" t="s">
        <v>3144</v>
      </c>
      <c r="U14" s="3183" t="s">
        <v>3144</v>
      </c>
      <c r="V14" s="3183" t="s">
        <v>2815</v>
      </c>
      <c r="W14" s="3183" t="s">
        <v>3082</v>
      </c>
      <c r="X14" s="3183" t="s">
        <v>3145</v>
      </c>
      <c r="Y14" s="3183" t="s">
        <v>3146</v>
      </c>
      <c r="Z14" s="3183" t="s">
        <v>3147</v>
      </c>
      <c r="AA14" s="3183" t="s">
        <v>3147</v>
      </c>
      <c r="AB14" s="3183" t="s">
        <v>3143</v>
      </c>
      <c r="AC14" s="3183" t="s">
        <v>3086</v>
      </c>
      <c r="AD14" s="3183" t="s">
        <v>3148</v>
      </c>
      <c r="AE14" s="3183">
        <v>115000</v>
      </c>
      <c r="AF14" s="3183">
        <v>384000</v>
      </c>
      <c r="AG14" s="3183">
        <v>500000</v>
      </c>
      <c r="AH14" s="3183">
        <v>3064.05</v>
      </c>
      <c r="AI14" s="3183">
        <v>3989.65</v>
      </c>
      <c r="AJ14" s="3183">
        <v>27660.720000000001</v>
      </c>
      <c r="AK14" s="3186">
        <v>36016.559999999998</v>
      </c>
      <c r="AL14" s="3183" t="s">
        <v>2815</v>
      </c>
      <c r="AM14" s="3183" t="s">
        <v>2815</v>
      </c>
      <c r="AN14" s="3183">
        <v>30.21</v>
      </c>
      <c r="AO14" s="3183" t="s">
        <v>3088</v>
      </c>
      <c r="AP14" s="3183" t="s">
        <v>2815</v>
      </c>
      <c r="AQ14" s="3183">
        <v>100</v>
      </c>
      <c r="AR14" s="3183" t="s">
        <v>2815</v>
      </c>
    </row>
    <row r="15" spans="1:44" s="3183" customFormat="1">
      <c r="A15" s="3183" t="s">
        <v>3149</v>
      </c>
      <c r="B15" s="3183" t="s">
        <v>1948</v>
      </c>
      <c r="C15" s="3183" t="s">
        <v>3097</v>
      </c>
      <c r="D15" s="3183" t="s">
        <v>3073</v>
      </c>
      <c r="E15" s="3183" t="s">
        <v>2815</v>
      </c>
      <c r="F15" s="3183" t="s">
        <v>3142</v>
      </c>
      <c r="G15" s="3183" t="s">
        <v>3075</v>
      </c>
      <c r="H15" s="3183" t="s">
        <v>3150</v>
      </c>
      <c r="I15" s="3183" t="s">
        <v>3151</v>
      </c>
      <c r="J15" s="3183">
        <v>85584.57</v>
      </c>
      <c r="K15" s="3183">
        <v>162894</v>
      </c>
      <c r="L15" s="3183">
        <v>1.9</v>
      </c>
      <c r="M15" s="3183" t="s">
        <v>2815</v>
      </c>
      <c r="N15" s="3183" t="s">
        <v>2815</v>
      </c>
      <c r="O15" s="3183" t="s">
        <v>2815</v>
      </c>
      <c r="P15" s="3183" t="s">
        <v>2815</v>
      </c>
      <c r="Q15" s="3183" t="s">
        <v>2815</v>
      </c>
      <c r="R15" s="3183" t="s">
        <v>2815</v>
      </c>
      <c r="S15" s="3183" t="s">
        <v>2815</v>
      </c>
      <c r="T15" s="3183" t="s">
        <v>3144</v>
      </c>
      <c r="U15" s="3183" t="s">
        <v>3144</v>
      </c>
      <c r="V15" s="3183" t="s">
        <v>2815</v>
      </c>
      <c r="W15" s="3183" t="s">
        <v>3082</v>
      </c>
      <c r="X15" s="3183" t="s">
        <v>3145</v>
      </c>
      <c r="Y15" s="3183" t="s">
        <v>3146</v>
      </c>
      <c r="Z15" s="3183" t="s">
        <v>3147</v>
      </c>
      <c r="AA15" s="3183" t="s">
        <v>3147</v>
      </c>
      <c r="AB15" s="3183" t="s">
        <v>3150</v>
      </c>
      <c r="AC15" s="3183" t="s">
        <v>3086</v>
      </c>
      <c r="AD15" s="3183" t="s">
        <v>3152</v>
      </c>
      <c r="AE15" s="3183">
        <v>132000</v>
      </c>
      <c r="AF15" s="3183">
        <v>440000</v>
      </c>
      <c r="AG15" s="3183">
        <v>590000</v>
      </c>
      <c r="AH15" s="3183">
        <v>3427.41</v>
      </c>
      <c r="AI15" s="3183">
        <v>4595.84</v>
      </c>
      <c r="AJ15" s="3183">
        <v>27011.43</v>
      </c>
      <c r="AK15" s="3183">
        <v>36219.870000000003</v>
      </c>
      <c r="AL15" s="3183" t="s">
        <v>2815</v>
      </c>
      <c r="AM15" s="3183" t="s">
        <v>2815</v>
      </c>
      <c r="AN15" s="3183">
        <v>34.090000000000003</v>
      </c>
      <c r="AO15" s="3183" t="s">
        <v>3088</v>
      </c>
      <c r="AP15" s="3183" t="s">
        <v>2815</v>
      </c>
      <c r="AQ15" s="3183">
        <v>100</v>
      </c>
      <c r="AR15" s="3183">
        <v>100</v>
      </c>
    </row>
    <row r="16" spans="1:44" s="3183" customFormat="1">
      <c r="A16" s="3183" t="s">
        <v>3153</v>
      </c>
      <c r="B16" s="3183" t="s">
        <v>1948</v>
      </c>
      <c r="C16" s="3183" t="s">
        <v>3097</v>
      </c>
      <c r="D16" s="3183" t="s">
        <v>3073</v>
      </c>
      <c r="E16" s="3183" t="s">
        <v>2815</v>
      </c>
      <c r="F16" s="3183" t="s">
        <v>3142</v>
      </c>
      <c r="G16" s="3183" t="s">
        <v>3075</v>
      </c>
      <c r="H16" s="3183" t="s">
        <v>3154</v>
      </c>
      <c r="I16" s="3183" t="s">
        <v>3151</v>
      </c>
      <c r="J16" s="3183">
        <v>84241.64</v>
      </c>
      <c r="K16" s="3183">
        <v>183336</v>
      </c>
      <c r="L16" s="3183">
        <v>2.1800000000000002</v>
      </c>
      <c r="M16" s="3183" t="s">
        <v>2815</v>
      </c>
      <c r="N16" s="3183" t="s">
        <v>2815</v>
      </c>
      <c r="O16" s="3183" t="s">
        <v>2815</v>
      </c>
      <c r="P16" s="3183" t="s">
        <v>2815</v>
      </c>
      <c r="Q16" s="3183" t="s">
        <v>2815</v>
      </c>
      <c r="R16" s="3183" t="s">
        <v>2815</v>
      </c>
      <c r="S16" s="3183" t="s">
        <v>2815</v>
      </c>
      <c r="T16" s="3183" t="s">
        <v>3144</v>
      </c>
      <c r="U16" s="3183" t="s">
        <v>3155</v>
      </c>
      <c r="V16" s="3183" t="s">
        <v>2815</v>
      </c>
      <c r="W16" s="3183" t="s">
        <v>3082</v>
      </c>
      <c r="X16" s="3183" t="s">
        <v>3145</v>
      </c>
      <c r="Y16" s="3183" t="s">
        <v>3146</v>
      </c>
      <c r="Z16" s="3183" t="s">
        <v>3156</v>
      </c>
      <c r="AA16" s="3183" t="s">
        <v>3156</v>
      </c>
      <c r="AB16" s="3183" t="s">
        <v>3154</v>
      </c>
      <c r="AC16" s="3183" t="s">
        <v>3086</v>
      </c>
      <c r="AD16" s="3183" t="s">
        <v>3157</v>
      </c>
      <c r="AE16" s="3183">
        <v>117000</v>
      </c>
      <c r="AF16" s="3183">
        <v>390000</v>
      </c>
      <c r="AG16" s="3183">
        <v>576000</v>
      </c>
      <c r="AH16" s="3183">
        <v>3086.36</v>
      </c>
      <c r="AI16" s="3183">
        <v>4558.32</v>
      </c>
      <c r="AJ16" s="3183">
        <v>21272.41</v>
      </c>
      <c r="AK16" s="3183">
        <v>31417.72</v>
      </c>
      <c r="AL16" s="3183" t="s">
        <v>2815</v>
      </c>
      <c r="AM16" s="3183" t="s">
        <v>2815</v>
      </c>
      <c r="AN16" s="3183">
        <v>47.69</v>
      </c>
      <c r="AO16" s="3183" t="s">
        <v>3088</v>
      </c>
      <c r="AP16" s="3183" t="s">
        <v>2815</v>
      </c>
      <c r="AQ16" s="3183">
        <v>100</v>
      </c>
      <c r="AR16" s="3183">
        <v>10</v>
      </c>
    </row>
    <row r="17" spans="1:44" s="3183" customFormat="1">
      <c r="A17" s="3183" t="s">
        <v>3158</v>
      </c>
      <c r="B17" s="3183" t="s">
        <v>1948</v>
      </c>
      <c r="C17" s="3183" t="s">
        <v>3072</v>
      </c>
      <c r="D17" s="3183" t="s">
        <v>3073</v>
      </c>
      <c r="E17" s="3183" t="s">
        <v>2815</v>
      </c>
      <c r="F17" s="3183" t="s">
        <v>3142</v>
      </c>
      <c r="G17" s="3183" t="s">
        <v>3075</v>
      </c>
      <c r="H17" s="3183" t="s">
        <v>3159</v>
      </c>
      <c r="I17" s="3183" t="s">
        <v>3077</v>
      </c>
      <c r="J17" s="3183">
        <v>43356.75</v>
      </c>
      <c r="K17" s="3183">
        <v>91049</v>
      </c>
      <c r="L17" s="3183">
        <v>2.1</v>
      </c>
      <c r="M17" s="3183" t="s">
        <v>2815</v>
      </c>
      <c r="N17" s="3183" t="s">
        <v>2815</v>
      </c>
      <c r="O17" s="3183" t="s">
        <v>2815</v>
      </c>
      <c r="P17" s="3183" t="s">
        <v>3160</v>
      </c>
      <c r="Q17" s="3183">
        <v>36000</v>
      </c>
      <c r="R17" s="3183">
        <v>36000</v>
      </c>
      <c r="S17" s="3183" t="s">
        <v>3161</v>
      </c>
      <c r="T17" s="3183" t="s">
        <v>2815</v>
      </c>
      <c r="U17" s="3183" t="s">
        <v>2815</v>
      </c>
      <c r="V17" s="3183" t="s">
        <v>2815</v>
      </c>
      <c r="W17" s="3183" t="s">
        <v>3082</v>
      </c>
      <c r="X17" s="3183" t="s">
        <v>3145</v>
      </c>
      <c r="Y17" s="3183" t="s">
        <v>3162</v>
      </c>
      <c r="Z17" s="3183" t="s">
        <v>3146</v>
      </c>
      <c r="AA17" s="3183" t="s">
        <v>3146</v>
      </c>
      <c r="AB17" s="3183" t="s">
        <v>3159</v>
      </c>
      <c r="AC17" s="3183" t="s">
        <v>3086</v>
      </c>
      <c r="AD17" s="3183" t="s">
        <v>3163</v>
      </c>
      <c r="AE17" s="3183">
        <v>59700</v>
      </c>
      <c r="AF17" s="3183">
        <v>199000</v>
      </c>
      <c r="AG17" s="3183">
        <v>215000</v>
      </c>
      <c r="AH17" s="3183">
        <v>3059.88</v>
      </c>
      <c r="AI17" s="3183">
        <v>3305.91</v>
      </c>
      <c r="AJ17" s="3183">
        <v>21856.36</v>
      </c>
      <c r="AK17" s="3183">
        <v>23613.65</v>
      </c>
      <c r="AL17" s="3183">
        <v>36150</v>
      </c>
      <c r="AM17" s="3183">
        <v>39056</v>
      </c>
      <c r="AN17" s="3183">
        <v>8.0399999999999991</v>
      </c>
      <c r="AO17" s="3183" t="s">
        <v>3088</v>
      </c>
      <c r="AP17" s="3183" t="s">
        <v>2815</v>
      </c>
      <c r="AQ17" s="3183" t="s">
        <v>2815</v>
      </c>
      <c r="AR17" s="3183" t="s">
        <v>2815</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26" sqref="O26"/>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2038</v>
      </c>
      <c r="B1" s="3196"/>
      <c r="C1" s="3196"/>
      <c r="D1" s="3196"/>
      <c r="E1" s="3196"/>
      <c r="F1" s="3196"/>
      <c r="G1" s="3196"/>
      <c r="H1" s="3196"/>
      <c r="I1" s="3196"/>
      <c r="J1" s="3196"/>
      <c r="K1" s="3196"/>
      <c r="L1" s="3196"/>
      <c r="M1" s="3196"/>
      <c r="N1" s="3196"/>
      <c r="O1" s="3196"/>
      <c r="P1" s="3196"/>
      <c r="Q1" s="3196"/>
      <c r="R1" s="3196"/>
    </row>
    <row r="2" spans="1:18">
      <c r="A2" s="1807" t="s">
        <v>2040</v>
      </c>
      <c r="B2" s="1807"/>
      <c r="C2" s="1807"/>
      <c r="D2" s="1807"/>
      <c r="E2" s="1807"/>
      <c r="F2" s="1807"/>
      <c r="G2" s="1807"/>
      <c r="H2" s="1807"/>
      <c r="I2" s="1808"/>
      <c r="J2" s="1808"/>
      <c r="K2" s="1809" t="str">
        <f>"估价期日："&amp;TEXT(项目基本情况!D3,"yyyy年m月d日;;")</f>
        <v>估价期日：2018年10月11日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7" t="s">
        <v>2029</v>
      </c>
      <c r="B3" s="3197" t="s">
        <v>2728</v>
      </c>
      <c r="C3" s="3198" t="s">
        <v>2030</v>
      </c>
      <c r="D3" s="3197" t="s">
        <v>2732</v>
      </c>
      <c r="E3" s="3192" t="s">
        <v>2031</v>
      </c>
      <c r="F3" s="3192"/>
      <c r="G3" s="3192"/>
      <c r="H3" s="3192" t="s">
        <v>2032</v>
      </c>
      <c r="I3" s="3192"/>
      <c r="J3" s="3192"/>
      <c r="K3" s="3198" t="s">
        <v>2033</v>
      </c>
      <c r="L3" s="3198" t="s">
        <v>2034</v>
      </c>
      <c r="M3" s="3197" t="s">
        <v>2729</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49" t="s">
        <v>2042</v>
      </c>
      <c r="F4" s="2649" t="s">
        <v>2741</v>
      </c>
      <c r="G4" s="2649" t="s">
        <v>2036</v>
      </c>
      <c r="H4" s="2649" t="s">
        <v>2037</v>
      </c>
      <c r="I4" s="2649" t="s">
        <v>2742</v>
      </c>
      <c r="J4" s="2649" t="s">
        <v>2036</v>
      </c>
      <c r="K4" s="3198"/>
      <c r="L4" s="3198"/>
      <c r="M4" s="3197"/>
      <c r="N4" s="3199"/>
      <c r="O4" s="3197"/>
      <c r="P4" s="3198"/>
      <c r="Q4" s="3198"/>
      <c r="R4" s="3198"/>
    </row>
    <row r="5" spans="1:18" ht="135" customHeight="1">
      <c r="A5" s="1943" t="s">
        <v>2652</v>
      </c>
      <c r="B5" s="2867" t="s">
        <v>2650</v>
      </c>
      <c r="C5" s="2648">
        <v>22</v>
      </c>
      <c r="D5" s="2647" t="s">
        <v>2651</v>
      </c>
      <c r="E5" s="1810" t="str">
        <f>项目基本情况!B12</f>
        <v>住宅</v>
      </c>
      <c r="F5" s="2647">
        <v>258</v>
      </c>
      <c r="G5" s="1810" t="str">
        <f>项目基本情况!B13</f>
        <v>住宅、仓储、车库</v>
      </c>
      <c r="H5" s="2647">
        <v>1.5</v>
      </c>
      <c r="I5" s="2647">
        <v>1.5</v>
      </c>
      <c r="J5" s="2647">
        <v>1.5</v>
      </c>
      <c r="K5" s="1810" t="str">
        <f>"红线外"&amp;项目基本情况!T40&amp;"、宗地红线内"&amp;项目基本情况!B35</f>
        <v>红线外三通、宗地红线内场地平整</v>
      </c>
      <c r="L5" s="1810" t="str">
        <f>"红线外"&amp;项目基本情况!T40&amp;"、宗地红线内场地"&amp;项目基本情况!D36</f>
        <v>红线外三通、宗地红线内场地平整</v>
      </c>
      <c r="M5" s="1810">
        <f>IF(项目基本情况!B16="出让",项目基本情况!D20,"——")</f>
        <v>0</v>
      </c>
      <c r="N5" s="1810">
        <f>项目基本情况!C22</f>
        <v>70934.91</v>
      </c>
      <c r="O5" s="1810">
        <f>项目基本情况!C21</f>
        <v>229492.13999999998</v>
      </c>
      <c r="P5" s="1810">
        <f ca="1">结果表!E42</f>
        <v>77887</v>
      </c>
      <c r="Q5" s="1810">
        <f ca="1">结果表!D42</f>
        <v>24075</v>
      </c>
      <c r="R5" s="1811">
        <f ca="1">结果表!C42</f>
        <v>552493</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2">
        <f ca="1">结果表!O39</f>
        <v>552493</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2"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1" t="s">
        <v>2065</v>
      </c>
      <c r="B1" s="3201"/>
      <c r="C1" s="3201"/>
      <c r="D1" s="3201"/>
    </row>
    <row r="2" spans="1:4" ht="47.25" customHeight="1">
      <c r="A2" s="3202" t="str">
        <f>"1.权利限制："&amp;项目基本情况!L24&amp;"未设定租赁等其他他项权利。"</f>
        <v>1.权利限制：根据估价对象、，截至估价期日，估价对象抵押权未见登记。未设定租赁等其他他项权利。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2066</v>
      </c>
      <c r="B5" s="3200"/>
      <c r="C5" s="3200"/>
      <c r="D5" s="3200"/>
    </row>
    <row r="6" spans="1:4">
      <c r="A6" s="3201" t="s">
        <v>2044</v>
      </c>
      <c r="B6" s="3201"/>
      <c r="C6" s="3201"/>
      <c r="D6" s="3201"/>
    </row>
    <row r="7" spans="1:4" ht="33" customHeight="1">
      <c r="A7" s="3201" t="s">
        <v>2573</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（1）根据估价对象、，截至估价期日，估价对象抵押权未见登记。</v>
      </c>
      <c r="B11" s="3203"/>
      <c r="C11" s="3203"/>
      <c r="D11" s="3203"/>
    </row>
    <row r="12" spans="1:4" ht="168" customHeight="1">
      <c r="A12" s="3200" t="s">
        <v>2068</v>
      </c>
      <c r="B12" s="3200"/>
      <c r="C12" s="3200"/>
      <c r="D12" s="3200"/>
    </row>
    <row r="13" spans="1:4">
      <c r="A13" s="3204" t="s">
        <v>2743</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2699</v>
      </c>
      <c r="B17" s="3201"/>
      <c r="C17" s="3201"/>
      <c r="D17" s="3201"/>
    </row>
    <row r="18" spans="1:4">
      <c r="A18" s="3201" t="s">
        <v>2691</v>
      </c>
      <c r="B18" s="3201"/>
      <c r="C18" s="3201"/>
      <c r="D18" s="3201"/>
    </row>
    <row r="19" spans="1:4">
      <c r="A19" s="2868" t="s">
        <v>2692</v>
      </c>
      <c r="B19" s="2868" t="s">
        <v>2693</v>
      </c>
      <c r="C19" s="2868" t="s">
        <v>2694</v>
      </c>
      <c r="D19" s="2868" t="s">
        <v>2695</v>
      </c>
    </row>
    <row r="20" spans="1:4">
      <c r="A20" s="2868" t="str">
        <f>项目基本情况!B4</f>
        <v>郑燚</v>
      </c>
      <c r="B20" s="2868">
        <f>项目基本情况!C4</f>
        <v>2014110011</v>
      </c>
      <c r="C20" s="2870"/>
      <c r="D20" s="1800" t="s">
        <v>2700</v>
      </c>
    </row>
    <row r="21" spans="1:4">
      <c r="A21" s="2868" t="str">
        <f>项目基本情况!D4</f>
        <v>赵雯</v>
      </c>
      <c r="B21" s="2868">
        <f ca="1">项目基本情况!E4</f>
        <v>2011110090</v>
      </c>
      <c r="C21" s="2870"/>
      <c r="D21" s="1800" t="s">
        <v>2701</v>
      </c>
    </row>
    <row r="23" spans="1:4">
      <c r="A23" s="3201" t="s">
        <v>2696</v>
      </c>
      <c r="B23" s="3201"/>
      <c r="C23" s="3201"/>
      <c r="D23" s="3201"/>
    </row>
    <row r="24" spans="1:4">
      <c r="A24" s="2868" t="s">
        <v>2692</v>
      </c>
      <c r="B24" s="2868" t="s">
        <v>2697</v>
      </c>
      <c r="C24" s="2868" t="s">
        <v>2694</v>
      </c>
      <c r="D24" s="2868" t="s">
        <v>2695</v>
      </c>
    </row>
    <row r="25" spans="1:4">
      <c r="A25" s="2871" t="s">
        <v>2698</v>
      </c>
      <c r="B25" s="2868" t="s">
        <v>952</v>
      </c>
      <c r="C25" s="2870"/>
      <c r="D25" s="1800" t="s">
        <v>2701</v>
      </c>
    </row>
    <row r="29" spans="1:4">
      <c r="D29" s="2869" t="s">
        <v>2039</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2" t="s">
        <v>53</v>
      </c>
      <c r="B15" s="3213" t="s">
        <v>846</v>
      </c>
      <c r="C15" s="3209"/>
    </row>
    <row r="16" spans="1:7" ht="14.25">
      <c r="A16" s="3212"/>
      <c r="B16" s="3210" t="s">
        <v>54</v>
      </c>
      <c r="C16" s="1170" t="s">
        <v>53</v>
      </c>
    </row>
    <row r="17" spans="1:3" ht="14.25">
      <c r="A17" s="3212"/>
      <c r="B17" s="3210"/>
      <c r="C17" s="1170" t="s">
        <v>55</v>
      </c>
    </row>
    <row r="18" spans="1:3" ht="14.25">
      <c r="A18" s="3212"/>
      <c r="B18" s="3210"/>
      <c r="C18" s="1170" t="s">
        <v>56</v>
      </c>
    </row>
    <row r="19" spans="1:3" ht="14.25">
      <c r="A19" s="3212"/>
      <c r="B19" s="3208" t="s">
        <v>57</v>
      </c>
      <c r="C19" s="3209"/>
    </row>
    <row r="20" spans="1:3" ht="14.25">
      <c r="A20" s="1171" t="s">
        <v>58</v>
      </c>
      <c r="B20" s="1172"/>
      <c r="C20" s="1173"/>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4" t="s">
        <v>837</v>
      </c>
    </row>
    <row r="25" spans="1:3" ht="14.25">
      <c r="A25" s="3211"/>
      <c r="B25" s="3215"/>
      <c r="C25" s="1174" t="s">
        <v>838</v>
      </c>
    </row>
    <row r="26" spans="1:3" ht="14.25">
      <c r="A26" s="3211"/>
      <c r="B26" s="3215"/>
      <c r="C26" s="1174" t="s">
        <v>839</v>
      </c>
    </row>
    <row r="27" spans="1:3" ht="14.25">
      <c r="A27" s="3211"/>
      <c r="B27" s="3215"/>
      <c r="C27" s="1174" t="s">
        <v>840</v>
      </c>
    </row>
    <row r="28" spans="1:3" ht="14.25">
      <c r="A28" s="3211"/>
      <c r="B28" s="3215"/>
      <c r="C28" s="1174" t="s">
        <v>841</v>
      </c>
    </row>
    <row r="29" spans="1:3" ht="14.25">
      <c r="A29" s="3211"/>
      <c r="B29" s="3215"/>
      <c r="C29" s="1174" t="s">
        <v>842</v>
      </c>
    </row>
    <row r="30" spans="1:3" ht="14.25">
      <c r="A30" s="3211"/>
      <c r="B30" s="3215"/>
      <c r="C30" s="1174" t="s">
        <v>843</v>
      </c>
    </row>
    <row r="31" spans="1:3" ht="14.25">
      <c r="A31" s="3211"/>
      <c r="B31" s="3215"/>
      <c r="C31" s="1174" t="s">
        <v>844</v>
      </c>
    </row>
    <row r="32" spans="1:3" ht="14.25">
      <c r="A32" s="3211"/>
      <c r="B32" s="3215"/>
      <c r="C32" s="1174" t="s">
        <v>1647</v>
      </c>
    </row>
    <row r="33" spans="1:3" ht="14.25">
      <c r="A33" s="3211"/>
      <c r="B33" s="3205" t="s">
        <v>1653</v>
      </c>
      <c r="C33" s="1174" t="s">
        <v>1648</v>
      </c>
    </row>
    <row r="34" spans="1:3" ht="14.25">
      <c r="A34" s="3211"/>
      <c r="B34" s="3206"/>
      <c r="C34" s="1179" t="s">
        <v>1649</v>
      </c>
    </row>
    <row r="35" spans="1:3" ht="14.25">
      <c r="A35" s="3211"/>
      <c r="B35" s="3206"/>
      <c r="C35" s="1180" t="s">
        <v>1650</v>
      </c>
    </row>
    <row r="36" spans="1:3" ht="14.25">
      <c r="A36" s="3211"/>
      <c r="B36" s="3206"/>
      <c r="C36" s="1180" t="s">
        <v>1651</v>
      </c>
    </row>
    <row r="37" spans="1:3" ht="14.25">
      <c r="A37" s="3211"/>
      <c r="B37" s="3207"/>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43389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2965</v>
      </c>
      <c r="B12" s="2343">
        <v>1120110054</v>
      </c>
      <c r="C12" s="3006">
        <v>43937</v>
      </c>
      <c r="D12" s="2343" t="s">
        <v>2965</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2543</v>
      </c>
      <c r="R1" s="2582" t="s">
        <v>2537</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2943</v>
      </c>
      <c r="C18" s="1553"/>
    </row>
    <row r="19" spans="1:3">
      <c r="A19" s="8" t="s">
        <v>120</v>
      </c>
      <c r="B19" s="3109" t="s">
        <v>2951</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09" t="s">
        <v>2978</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总行北京分行望京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葛洲坝（北京）发展有限公司拟使用北京市海淀区“海淀北部地区整体开发”翠湖科技园HD00-0303-6022地块R2二类居住用地出让国有建设用地使用权作为抵押担保物，向工商银行总行北京分行望京支行办理贷款手续。工商银行总行北京分行望京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11日，在规划利用条件下、设定土地开发程度为红线外“三通”、宗地内场地平整，设定用途为住宅、仓储、车库，剩余土地使用年限为的出让国有建设用地使用权价格。</v>
      </c>
      <c r="D53" s="1767"/>
      <c r="E53" s="1767"/>
    </row>
    <row r="54" spans="1:5">
      <c r="A54" s="321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2018-10-16T03:36:11Z</dcterms:modified>
</cp:coreProperties>
</file>